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ctrlProps/ctrlProp2.xml" ContentType="application/vnd.ms-excel.controlproperties+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codeName="ThisWorkbook" autoCompressPictures="0"/>
  <mc:AlternateContent xmlns:mc="http://schemas.openxmlformats.org/markup-compatibility/2006">
    <mc:Choice Requires="x15">
      <x15ac:absPath xmlns:x15ac="http://schemas.microsoft.com/office/spreadsheetml/2010/11/ac" url="https://basf-my.sharepoint.com/personal/shiffem_basfad_basf_net/Documents/_Migration/W7DZMH5R1/Documents/BASF SPD MGS/Ad Hoc Projects/Marketing/Turf/2026/"/>
    </mc:Choice>
  </mc:AlternateContent>
  <xr:revisionPtr revIDLastSave="6" documentId="8_{D928014D-97D0-4404-A138-9EFE64547C58}" xr6:coauthVersionLast="47" xr6:coauthVersionMax="47" xr10:uidLastSave="{6CCEE5CC-999C-407A-8485-EE3F0EF9D37B}"/>
  <bookViews>
    <workbookView xWindow="28680" yWindow="-120" windowWidth="29040" windowHeight="15720" tabRatio="759" xr2:uid="{00000000-000D-0000-FFFF-FFFF00000000}"/>
  </bookViews>
  <sheets>
    <sheet name="Step 1 - Fungicide Planner" sheetId="14" r:id="rId1"/>
    <sheet name="Step 2 - Order Planner" sheetId="1" r:id="rId2"/>
    <sheet name="Step 2 - OldManage Apps" sheetId="11" state="veryHidden" r:id="rId3"/>
    <sheet name="Step 3 - Review Order" sheetId="13" r:id="rId4"/>
    <sheet name="Range Reference" sheetId="8" state="veryHidden" r:id="rId5"/>
    <sheet name="Article Reference" sheetId="4" state="veryHidden" r:id="rId6"/>
    <sheet name="Coverage Reference" sheetId="2" state="veryHidden" r:id="rId7"/>
    <sheet name="Sheet1" sheetId="15" state="veryHidden" r:id="rId8"/>
  </sheets>
  <definedNames>
    <definedName name="_xlnm._FilterDatabase" localSheetId="5" hidden="1">'Article Reference'!$A$20:$D$53</definedName>
    <definedName name="_xlnm._FilterDatabase" localSheetId="6" hidden="1">'Coverage Reference'!$A$3:$H$21</definedName>
    <definedName name="_xlnm._FilterDatabase" localSheetId="0" hidden="1">'Step 1 - Fungicide Planner'!$A$18:$G$34</definedName>
    <definedName name="_xlnm._FilterDatabase" localSheetId="2" hidden="1">'Step 2 - OldManage Apps'!$A$21:$I$37</definedName>
    <definedName name="_xlnm._FilterDatabase" localSheetId="3" hidden="1">'Step 3 - Review Order'!$A$25:$F$71</definedName>
    <definedName name="_xlnm.Print_Area" localSheetId="1">'Step 2 - Order Planner'!$A$1:$Q$91</definedName>
    <definedName name="_xlnm.Print_Area" localSheetId="3">'Step 3 - Review Order'!$A$1:$G$82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F21" i="13" l="1"/>
  <c r="D32" i="1"/>
  <c r="M5" i="2"/>
  <c r="M4" i="2"/>
  <c r="L34" i="14"/>
  <c r="L33" i="14"/>
  <c r="B41" i="2"/>
  <c r="B42" i="2"/>
  <c r="N30" i="1"/>
  <c r="H5" i="2" l="1"/>
  <c r="Q9" i="2"/>
  <c r="Q11" i="2" s="1"/>
  <c r="H4" i="2"/>
  <c r="L27" i="1"/>
  <c r="K27" i="1"/>
  <c r="J27" i="1"/>
  <c r="N2" i="8" l="1"/>
  <c r="N3" i="8"/>
  <c r="N4" i="8"/>
  <c r="M3" i="8"/>
  <c r="M2" i="8"/>
  <c r="M4" i="8"/>
  <c r="E40" i="13"/>
  <c r="E39" i="13"/>
  <c r="E38" i="13"/>
  <c r="E37" i="13"/>
  <c r="E36" i="13"/>
  <c r="E35" i="13"/>
  <c r="E34" i="13"/>
  <c r="E33" i="13"/>
  <c r="E32" i="13"/>
  <c r="E31" i="13"/>
  <c r="E30" i="13"/>
  <c r="E29" i="13"/>
  <c r="E28" i="13"/>
  <c r="E27" i="13"/>
  <c r="E26" i="13"/>
  <c r="E69" i="13"/>
  <c r="E68" i="13"/>
  <c r="E67" i="13"/>
  <c r="E66" i="13"/>
  <c r="E65" i="13"/>
  <c r="E64" i="13"/>
  <c r="E63" i="13"/>
  <c r="E62" i="13"/>
  <c r="E61" i="13"/>
  <c r="E60" i="13"/>
  <c r="E59" i="13"/>
  <c r="E58" i="13"/>
  <c r="E57" i="13"/>
  <c r="E56" i="13"/>
  <c r="E55" i="13"/>
  <c r="E54" i="13"/>
  <c r="E53" i="13"/>
  <c r="E52" i="13"/>
  <c r="E51" i="13"/>
  <c r="E50" i="13"/>
  <c r="E49" i="13"/>
  <c r="E48" i="13"/>
  <c r="E47" i="13"/>
  <c r="E46" i="13"/>
  <c r="E45" i="13"/>
  <c r="E44" i="13"/>
  <c r="E43" i="13"/>
  <c r="E42" i="13"/>
  <c r="E70" i="13"/>
  <c r="D68" i="13"/>
  <c r="B68" i="13"/>
  <c r="A68" i="13"/>
  <c r="D27" i="13"/>
  <c r="B27" i="13"/>
  <c r="A27" i="13"/>
  <c r="D77" i="1"/>
  <c r="G77" i="1" s="1"/>
  <c r="B77" i="1"/>
  <c r="A77" i="1"/>
  <c r="D71" i="1"/>
  <c r="G71" i="1" s="1"/>
  <c r="B71" i="1"/>
  <c r="A71" i="1"/>
  <c r="G32" i="4"/>
  <c r="H32" i="4"/>
  <c r="D54" i="4"/>
  <c r="M21" i="14"/>
  <c r="H21" i="14" s="1"/>
  <c r="N21" i="14" s="1"/>
  <c r="E27" i="1" s="1"/>
  <c r="H4" i="4"/>
  <c r="F4" i="4"/>
  <c r="D27" i="1"/>
  <c r="I27" i="1" s="1"/>
  <c r="B27" i="1"/>
  <c r="A27" i="1"/>
  <c r="O23" i="8"/>
  <c r="P23" i="8" s="1"/>
  <c r="P33" i="1" s="1"/>
  <c r="Q33" i="1" s="1"/>
  <c r="C23" i="1" s="1"/>
  <c r="F20" i="13" s="1"/>
  <c r="A70" i="13"/>
  <c r="A69" i="13"/>
  <c r="A67" i="13"/>
  <c r="A66" i="13"/>
  <c r="A65" i="13"/>
  <c r="A64" i="13"/>
  <c r="A63" i="13"/>
  <c r="A62" i="13"/>
  <c r="A61" i="13"/>
  <c r="A60" i="13"/>
  <c r="A59" i="13"/>
  <c r="A58" i="13"/>
  <c r="A57" i="13"/>
  <c r="A56" i="13"/>
  <c r="A55" i="13"/>
  <c r="A54" i="13"/>
  <c r="A53" i="13"/>
  <c r="A52" i="13"/>
  <c r="A51" i="13"/>
  <c r="A50" i="13"/>
  <c r="A49" i="13"/>
  <c r="A48" i="13"/>
  <c r="A47" i="13"/>
  <c r="A46" i="13"/>
  <c r="A45" i="13"/>
  <c r="A44" i="13"/>
  <c r="A43" i="13"/>
  <c r="A42" i="13"/>
  <c r="D70" i="13"/>
  <c r="D69" i="13"/>
  <c r="D67" i="13"/>
  <c r="D66" i="13"/>
  <c r="D65" i="13"/>
  <c r="D64" i="13"/>
  <c r="D63" i="13"/>
  <c r="D62" i="13"/>
  <c r="D61" i="13"/>
  <c r="D60" i="13"/>
  <c r="D59" i="13"/>
  <c r="D58" i="13"/>
  <c r="D57" i="13"/>
  <c r="D56" i="13"/>
  <c r="D55" i="13"/>
  <c r="D54" i="13"/>
  <c r="D53" i="13"/>
  <c r="D52" i="13"/>
  <c r="D51" i="13"/>
  <c r="D50" i="13"/>
  <c r="D49" i="13"/>
  <c r="D48" i="13"/>
  <c r="D47" i="13"/>
  <c r="D46" i="13"/>
  <c r="D45" i="13"/>
  <c r="D44" i="13"/>
  <c r="D43" i="13"/>
  <c r="D42" i="13"/>
  <c r="D40" i="13"/>
  <c r="D39" i="13"/>
  <c r="D38" i="13"/>
  <c r="D37" i="13"/>
  <c r="D36" i="13"/>
  <c r="D35" i="13"/>
  <c r="D34" i="13"/>
  <c r="D33" i="13"/>
  <c r="D32" i="13"/>
  <c r="D31" i="13"/>
  <c r="D30" i="13"/>
  <c r="D29" i="13"/>
  <c r="D28" i="13"/>
  <c r="B70" i="13"/>
  <c r="B69" i="13"/>
  <c r="B67" i="13"/>
  <c r="B66" i="13"/>
  <c r="B65" i="13"/>
  <c r="B64" i="13"/>
  <c r="B63" i="13"/>
  <c r="B62" i="13"/>
  <c r="B61" i="13"/>
  <c r="B60" i="13"/>
  <c r="B59" i="13"/>
  <c r="B58" i="13"/>
  <c r="B57" i="13"/>
  <c r="B56" i="13"/>
  <c r="B55" i="13"/>
  <c r="B54" i="13"/>
  <c r="B53" i="13"/>
  <c r="B52" i="13"/>
  <c r="B51" i="13"/>
  <c r="B50" i="13"/>
  <c r="B49" i="13"/>
  <c r="B48" i="13"/>
  <c r="B47" i="13"/>
  <c r="B46" i="13"/>
  <c r="B45" i="13"/>
  <c r="B44" i="13"/>
  <c r="B43" i="13"/>
  <c r="B42" i="13"/>
  <c r="B40" i="13"/>
  <c r="B39" i="13"/>
  <c r="B38" i="13"/>
  <c r="B37" i="13"/>
  <c r="B36" i="13"/>
  <c r="B35" i="13"/>
  <c r="B34" i="13"/>
  <c r="B33" i="13"/>
  <c r="B32" i="13"/>
  <c r="B31" i="13"/>
  <c r="B30" i="13"/>
  <c r="B29" i="13"/>
  <c r="B28" i="13"/>
  <c r="B26" i="13"/>
  <c r="D17" i="13"/>
  <c r="M20" i="14"/>
  <c r="H20" i="14" s="1"/>
  <c r="M38" i="2"/>
  <c r="M35" i="2"/>
  <c r="M26" i="2"/>
  <c r="N26" i="2" s="1"/>
  <c r="M29" i="2"/>
  <c r="M30" i="2" s="1"/>
  <c r="P17" i="8"/>
  <c r="P15" i="8"/>
  <c r="P14" i="8"/>
  <c r="P13" i="8"/>
  <c r="P12" i="8"/>
  <c r="P11" i="8"/>
  <c r="P10" i="8"/>
  <c r="P9" i="8"/>
  <c r="P8" i="8"/>
  <c r="P7" i="8"/>
  <c r="P6" i="8"/>
  <c r="P5" i="8"/>
  <c r="P4" i="8"/>
  <c r="R4" i="8" s="1"/>
  <c r="O17" i="8"/>
  <c r="O15" i="8"/>
  <c r="O14" i="8"/>
  <c r="O13" i="8"/>
  <c r="O12" i="8"/>
  <c r="O11" i="8"/>
  <c r="O10" i="8"/>
  <c r="O9" i="8"/>
  <c r="O8" i="8"/>
  <c r="O7" i="8"/>
  <c r="O6" i="8"/>
  <c r="O5" i="8"/>
  <c r="O4" i="8"/>
  <c r="Q4" i="8" s="1"/>
  <c r="P2" i="8"/>
  <c r="R2" i="8" s="1"/>
  <c r="O2" i="8"/>
  <c r="Q2" i="8" s="1"/>
  <c r="O22" i="8"/>
  <c r="P22" i="8" s="1"/>
  <c r="P29" i="1" s="1"/>
  <c r="Q29" i="1" s="1"/>
  <c r="C22" i="1" s="1"/>
  <c r="F18" i="13" s="1"/>
  <c r="L40" i="1"/>
  <c r="L39" i="1"/>
  <c r="L38" i="1"/>
  <c r="L37" i="1"/>
  <c r="L36" i="1"/>
  <c r="L35" i="1"/>
  <c r="L34" i="1"/>
  <c r="L33" i="1"/>
  <c r="L32" i="1"/>
  <c r="L31" i="1"/>
  <c r="L30" i="1"/>
  <c r="L29" i="1"/>
  <c r="L28" i="1"/>
  <c r="L26" i="1"/>
  <c r="K40" i="1"/>
  <c r="K39" i="1"/>
  <c r="K38" i="1"/>
  <c r="K37" i="1"/>
  <c r="K36" i="1"/>
  <c r="K35" i="1"/>
  <c r="K34" i="1"/>
  <c r="K33" i="1"/>
  <c r="K32" i="1"/>
  <c r="K31" i="1"/>
  <c r="K30" i="1"/>
  <c r="K29" i="1"/>
  <c r="K28" i="1"/>
  <c r="K26" i="1"/>
  <c r="J40" i="1"/>
  <c r="J39" i="1"/>
  <c r="J38" i="1"/>
  <c r="J37" i="1"/>
  <c r="J36" i="1"/>
  <c r="J35" i="1"/>
  <c r="J34" i="1"/>
  <c r="J33" i="1"/>
  <c r="J32" i="1"/>
  <c r="J31" i="1"/>
  <c r="J30" i="1"/>
  <c r="J29" i="1"/>
  <c r="J28" i="1"/>
  <c r="J26" i="1"/>
  <c r="A40" i="1"/>
  <c r="A39" i="1"/>
  <c r="A38" i="1"/>
  <c r="A37" i="1"/>
  <c r="A36" i="1"/>
  <c r="A35" i="1"/>
  <c r="A34" i="1"/>
  <c r="A33" i="1"/>
  <c r="A32" i="1"/>
  <c r="A31" i="1"/>
  <c r="A30" i="1"/>
  <c r="A29" i="1"/>
  <c r="A28" i="1"/>
  <c r="A26" i="1"/>
  <c r="B40" i="1"/>
  <c r="B39" i="1"/>
  <c r="B38" i="1"/>
  <c r="B37" i="1"/>
  <c r="B36" i="1"/>
  <c r="B35" i="1"/>
  <c r="B34" i="1"/>
  <c r="B33" i="1"/>
  <c r="B32" i="1"/>
  <c r="B31" i="1"/>
  <c r="B30" i="1"/>
  <c r="B29" i="1"/>
  <c r="B28" i="1"/>
  <c r="B26" i="1"/>
  <c r="M32" i="14"/>
  <c r="M31" i="14"/>
  <c r="M28" i="14"/>
  <c r="M27" i="14"/>
  <c r="M26" i="14"/>
  <c r="M25" i="14"/>
  <c r="M24" i="14"/>
  <c r="M22" i="14"/>
  <c r="D40" i="1"/>
  <c r="I40" i="1" s="1"/>
  <c r="D39" i="1"/>
  <c r="D38" i="1"/>
  <c r="D37" i="1"/>
  <c r="D36" i="1"/>
  <c r="D35" i="1"/>
  <c r="D34" i="1"/>
  <c r="D33" i="1"/>
  <c r="D31" i="1"/>
  <c r="D30" i="1"/>
  <c r="D29" i="1"/>
  <c r="D28" i="1"/>
  <c r="D26" i="1"/>
  <c r="G26" i="1" s="1"/>
  <c r="D26" i="13"/>
  <c r="A40" i="13"/>
  <c r="A39" i="13"/>
  <c r="A38" i="13"/>
  <c r="A37" i="13"/>
  <c r="A36" i="13"/>
  <c r="A35" i="13"/>
  <c r="A34" i="13"/>
  <c r="A33" i="13"/>
  <c r="A32" i="13"/>
  <c r="A31" i="13"/>
  <c r="A30" i="13"/>
  <c r="A29" i="13"/>
  <c r="A28" i="13"/>
  <c r="A26" i="13"/>
  <c r="B34" i="14"/>
  <c r="B33" i="14"/>
  <c r="B32" i="14"/>
  <c r="B31" i="14"/>
  <c r="B30" i="14"/>
  <c r="B29" i="14"/>
  <c r="B28" i="14"/>
  <c r="B27" i="14"/>
  <c r="B26" i="14"/>
  <c r="B25" i="14"/>
  <c r="B24" i="14"/>
  <c r="B23" i="14"/>
  <c r="B22" i="14"/>
  <c r="B20" i="14"/>
  <c r="E18" i="4"/>
  <c r="D18" i="4"/>
  <c r="H3" i="4"/>
  <c r="G3" i="4" s="1"/>
  <c r="E43" i="4"/>
  <c r="E34" i="4"/>
  <c r="H5" i="4"/>
  <c r="M33" i="2" l="1"/>
  <c r="B22" i="1"/>
  <c r="F17" i="13" s="1"/>
  <c r="I21" i="14"/>
  <c r="Q6" i="8"/>
  <c r="R6" i="8"/>
  <c r="S2" i="8"/>
  <c r="F68" i="13"/>
  <c r="F27" i="13"/>
  <c r="F69" i="13"/>
  <c r="G4" i="4"/>
  <c r="G27" i="1"/>
  <c r="Q15" i="8"/>
  <c r="F33" i="13"/>
  <c r="F34" i="13"/>
  <c r="N20" i="14"/>
  <c r="E26" i="1" s="1"/>
  <c r="F35" i="13"/>
  <c r="F28" i="13"/>
  <c r="F36" i="13"/>
  <c r="F29" i="13"/>
  <c r="F37" i="13"/>
  <c r="F30" i="13"/>
  <c r="F38" i="13"/>
  <c r="F31" i="13"/>
  <c r="F39" i="13"/>
  <c r="F32" i="13"/>
  <c r="F40" i="13"/>
  <c r="I20" i="14"/>
  <c r="S4" i="8"/>
  <c r="G40" i="1"/>
  <c r="E54" i="4"/>
  <c r="A55" i="1"/>
  <c r="B57" i="1"/>
  <c r="A57" i="1"/>
  <c r="D57" i="1"/>
  <c r="G57" i="1" s="1"/>
  <c r="H27" i="4"/>
  <c r="H17" i="4"/>
  <c r="H16" i="4"/>
  <c r="H15" i="4"/>
  <c r="H14" i="4"/>
  <c r="H13" i="4"/>
  <c r="H12" i="4"/>
  <c r="H11" i="4"/>
  <c r="H10" i="4"/>
  <c r="H9" i="4"/>
  <c r="H8" i="4"/>
  <c r="H7" i="4"/>
  <c r="H6" i="4"/>
  <c r="B21" i="8"/>
  <c r="B20" i="8"/>
  <c r="B4" i="8"/>
  <c r="B3" i="8"/>
  <c r="B11" i="8"/>
  <c r="B12" i="8"/>
  <c r="B13" i="8"/>
  <c r="B14" i="8"/>
  <c r="M34" i="14"/>
  <c r="M33" i="14"/>
  <c r="L30" i="14"/>
  <c r="M30" i="14" s="1"/>
  <c r="L29" i="14"/>
  <c r="M29" i="14" s="1"/>
  <c r="B33" i="2"/>
  <c r="B31" i="2"/>
  <c r="B26" i="2"/>
  <c r="B34" i="2"/>
  <c r="B32" i="2"/>
  <c r="B43" i="2"/>
  <c r="E39" i="2"/>
  <c r="B39" i="2" s="1"/>
  <c r="E38" i="2"/>
  <c r="B38" i="2" s="1"/>
  <c r="E37" i="2"/>
  <c r="B37" i="2" s="1"/>
  <c r="E36" i="2"/>
  <c r="B36" i="2" s="1"/>
  <c r="E34" i="2"/>
  <c r="E33" i="2"/>
  <c r="E32" i="2"/>
  <c r="E31" i="2"/>
  <c r="E26" i="2"/>
  <c r="L76" i="1"/>
  <c r="K76" i="1"/>
  <c r="J76" i="1"/>
  <c r="L75" i="1"/>
  <c r="K75" i="1"/>
  <c r="J75" i="1"/>
  <c r="L74" i="1"/>
  <c r="K74" i="1"/>
  <c r="J74" i="1"/>
  <c r="L72" i="1"/>
  <c r="K72" i="1"/>
  <c r="J72" i="1"/>
  <c r="L70" i="1"/>
  <c r="K70" i="1"/>
  <c r="J70" i="1"/>
  <c r="L69" i="1"/>
  <c r="K69" i="1"/>
  <c r="J69" i="1"/>
  <c r="L68" i="1"/>
  <c r="K68" i="1"/>
  <c r="J68" i="1"/>
  <c r="L67" i="1"/>
  <c r="K67" i="1"/>
  <c r="J67" i="1"/>
  <c r="L65" i="1"/>
  <c r="K65" i="1"/>
  <c r="J65" i="1"/>
  <c r="L64" i="1"/>
  <c r="K64" i="1"/>
  <c r="J64" i="1"/>
  <c r="L63" i="1"/>
  <c r="K63" i="1"/>
  <c r="J63" i="1"/>
  <c r="L62" i="1"/>
  <c r="K62" i="1"/>
  <c r="J62" i="1"/>
  <c r="L61" i="1"/>
  <c r="K61" i="1"/>
  <c r="J61" i="1"/>
  <c r="L60" i="1"/>
  <c r="K60" i="1"/>
  <c r="J60" i="1"/>
  <c r="L59" i="1"/>
  <c r="K59" i="1"/>
  <c r="J59" i="1"/>
  <c r="L58" i="1"/>
  <c r="K58" i="1"/>
  <c r="J58" i="1"/>
  <c r="L56" i="1"/>
  <c r="K56" i="1"/>
  <c r="J56" i="1"/>
  <c r="L55" i="1"/>
  <c r="K55" i="1"/>
  <c r="J55" i="1"/>
  <c r="L53" i="1"/>
  <c r="K53" i="1"/>
  <c r="J53" i="1"/>
  <c r="L52" i="1"/>
  <c r="K52" i="1"/>
  <c r="J52" i="1"/>
  <c r="L51" i="1"/>
  <c r="K51" i="1"/>
  <c r="J51" i="1"/>
  <c r="L50" i="1"/>
  <c r="K50" i="1"/>
  <c r="J50" i="1"/>
  <c r="L48" i="1"/>
  <c r="K48" i="1"/>
  <c r="J48" i="1"/>
  <c r="L47" i="1"/>
  <c r="K47" i="1"/>
  <c r="J47" i="1"/>
  <c r="L46" i="1"/>
  <c r="K46" i="1"/>
  <c r="J46" i="1"/>
  <c r="L45" i="1"/>
  <c r="K45" i="1"/>
  <c r="J45" i="1"/>
  <c r="S6" i="8" l="1"/>
  <c r="F48" i="13"/>
  <c r="F70" i="13"/>
  <c r="F34" i="4"/>
  <c r="H34" i="4"/>
  <c r="F43" i="4"/>
  <c r="H43" i="4"/>
  <c r="G34" i="4" l="1"/>
  <c r="G43" i="4"/>
  <c r="N17" i="8"/>
  <c r="M17" i="8"/>
  <c r="N15" i="8"/>
  <c r="M15" i="8"/>
  <c r="N14" i="8"/>
  <c r="M14" i="8"/>
  <c r="N13" i="8"/>
  <c r="M13" i="8"/>
  <c r="N12" i="8"/>
  <c r="M12" i="8"/>
  <c r="N11" i="8"/>
  <c r="M11" i="8"/>
  <c r="N10" i="8"/>
  <c r="M10" i="8"/>
  <c r="N9" i="8"/>
  <c r="M9" i="8"/>
  <c r="N8" i="8"/>
  <c r="M8" i="8"/>
  <c r="N7" i="8"/>
  <c r="M7" i="8"/>
  <c r="N6" i="8"/>
  <c r="M6" i="8"/>
  <c r="N5" i="8"/>
  <c r="M5" i="8"/>
  <c r="L23" i="14" l="1"/>
  <c r="M23" i="14" s="1"/>
  <c r="B52" i="1" l="1"/>
  <c r="A52" i="1"/>
  <c r="D52" i="1"/>
  <c r="G52" i="1" s="1"/>
  <c r="H28" i="4"/>
  <c r="G28" i="4" s="1"/>
  <c r="H53" i="4"/>
  <c r="H52" i="4"/>
  <c r="G52" i="4" s="1"/>
  <c r="H51" i="4"/>
  <c r="G51" i="4" s="1"/>
  <c r="H50" i="4"/>
  <c r="G50" i="4" s="1"/>
  <c r="H49" i="4"/>
  <c r="H48" i="4"/>
  <c r="G48" i="4" s="1"/>
  <c r="H47" i="4"/>
  <c r="H46" i="4"/>
  <c r="G46" i="4" s="1"/>
  <c r="H45" i="4"/>
  <c r="G45" i="4" s="1"/>
  <c r="H44" i="4"/>
  <c r="G44" i="4" s="1"/>
  <c r="H42" i="4"/>
  <c r="G42" i="4" s="1"/>
  <c r="H41" i="4"/>
  <c r="G41" i="4" s="1"/>
  <c r="H40" i="4"/>
  <c r="G40" i="4" s="1"/>
  <c r="H39" i="4"/>
  <c r="G39" i="4" s="1"/>
  <c r="H38" i="4"/>
  <c r="G38" i="4" s="1"/>
  <c r="H37" i="4"/>
  <c r="G37" i="4" s="1"/>
  <c r="H36" i="4"/>
  <c r="G36" i="4" s="1"/>
  <c r="H35" i="4"/>
  <c r="H33" i="4"/>
  <c r="G33" i="4" s="1"/>
  <c r="H31" i="4"/>
  <c r="G31" i="4" s="1"/>
  <c r="H30" i="4"/>
  <c r="G30" i="4" s="1"/>
  <c r="H29" i="4"/>
  <c r="G29" i="4" s="1"/>
  <c r="H26" i="4"/>
  <c r="H25" i="4"/>
  <c r="G25" i="4" s="1"/>
  <c r="H24" i="4"/>
  <c r="G24" i="4" s="1"/>
  <c r="H23" i="4"/>
  <c r="G23" i="4" s="1"/>
  <c r="H22" i="4"/>
  <c r="H21" i="4"/>
  <c r="G21" i="4" s="1"/>
  <c r="G15" i="4"/>
  <c r="G13" i="4"/>
  <c r="G10" i="4"/>
  <c r="G8" i="4"/>
  <c r="F43" i="13" l="1"/>
  <c r="D64" i="1"/>
  <c r="R5" i="8" l="1"/>
  <c r="Q5" i="8"/>
  <c r="S5" i="8" l="1"/>
  <c r="H23" i="14"/>
  <c r="N23" i="14" s="1"/>
  <c r="E29" i="1" s="1"/>
  <c r="F22" i="4"/>
  <c r="G22" i="4" s="1"/>
  <c r="F6" i="4"/>
  <c r="G6" i="4" s="1"/>
  <c r="A45" i="1"/>
  <c r="B45" i="1"/>
  <c r="D45" i="1"/>
  <c r="G45" i="1" s="1"/>
  <c r="G28" i="1"/>
  <c r="I28" i="1" l="1"/>
  <c r="I23" i="14" l="1"/>
  <c r="D76" i="1" l="1"/>
  <c r="D75" i="1"/>
  <c r="D74" i="1"/>
  <c r="D72" i="1"/>
  <c r="D70" i="1"/>
  <c r="D69" i="1"/>
  <c r="D68" i="1"/>
  <c r="D67" i="1"/>
  <c r="D65" i="1"/>
  <c r="D63" i="1"/>
  <c r="D62" i="1"/>
  <c r="D61" i="1"/>
  <c r="G61" i="1" s="1"/>
  <c r="D60" i="1"/>
  <c r="D59" i="1"/>
  <c r="D58" i="1"/>
  <c r="D56" i="1"/>
  <c r="D55" i="1"/>
  <c r="D53" i="1"/>
  <c r="D51" i="1"/>
  <c r="D50" i="1"/>
  <c r="D48" i="1"/>
  <c r="D47" i="1"/>
  <c r="D46" i="1"/>
  <c r="B76" i="1"/>
  <c r="B75" i="1"/>
  <c r="B74" i="1"/>
  <c r="B72" i="1"/>
  <c r="B70" i="1"/>
  <c r="B69" i="1"/>
  <c r="B68" i="1"/>
  <c r="B67" i="1"/>
  <c r="B65" i="1"/>
  <c r="B64" i="1"/>
  <c r="B63" i="1"/>
  <c r="B62" i="1"/>
  <c r="B61" i="1"/>
  <c r="B60" i="1"/>
  <c r="B59" i="1"/>
  <c r="B58" i="1"/>
  <c r="B56" i="1"/>
  <c r="B55" i="1"/>
  <c r="B53" i="1"/>
  <c r="B51" i="1"/>
  <c r="B50" i="1"/>
  <c r="B48" i="1"/>
  <c r="B47" i="1"/>
  <c r="B46" i="1"/>
  <c r="A61" i="1"/>
  <c r="F64" i="13" l="1"/>
  <c r="F58" i="13"/>
  <c r="F62" i="13"/>
  <c r="F63" i="13"/>
  <c r="F57" i="13"/>
  <c r="F65" i="13"/>
  <c r="F66" i="13"/>
  <c r="F59" i="13"/>
  <c r="F61" i="13"/>
  <c r="F60" i="13"/>
  <c r="F56" i="13"/>
  <c r="F53" i="4"/>
  <c r="G53" i="4" s="1"/>
  <c r="F49" i="4"/>
  <c r="G49" i="4" s="1"/>
  <c r="F47" i="4"/>
  <c r="G47" i="4" s="1"/>
  <c r="F35" i="4"/>
  <c r="G35" i="4" s="1"/>
  <c r="F26" i="4"/>
  <c r="G26" i="4" s="1"/>
  <c r="F17" i="4"/>
  <c r="G17" i="4" s="1"/>
  <c r="F16" i="4"/>
  <c r="G16" i="4" s="1"/>
  <c r="F14" i="4"/>
  <c r="G14" i="4" s="1"/>
  <c r="F12" i="4"/>
  <c r="G12" i="4" s="1"/>
  <c r="F11" i="4"/>
  <c r="G11" i="4" s="1"/>
  <c r="F9" i="4"/>
  <c r="G9" i="4" s="1"/>
  <c r="F7" i="4"/>
  <c r="G7" i="4" s="1"/>
  <c r="F5" i="4"/>
  <c r="G5" i="4" s="1"/>
  <c r="R8" i="8" l="1"/>
  <c r="Q8" i="8"/>
  <c r="Q11" i="8"/>
  <c r="S8" i="8" l="1"/>
  <c r="A68" i="1"/>
  <c r="A67" i="1"/>
  <c r="Q10" i="8" l="1"/>
  <c r="Q13" i="8" l="1"/>
  <c r="Q18" i="8" s="1"/>
  <c r="G68" i="1" l="1"/>
  <c r="G67" i="1"/>
  <c r="H34" i="14"/>
  <c r="H33" i="14"/>
  <c r="H32" i="14"/>
  <c r="H31" i="14"/>
  <c r="H30" i="14"/>
  <c r="H29" i="14"/>
  <c r="H27" i="14"/>
  <c r="H26" i="14"/>
  <c r="H24" i="14"/>
  <c r="H22" i="14"/>
  <c r="H25" i="14" l="1"/>
  <c r="N25" i="14" s="1"/>
  <c r="E31" i="1" s="1"/>
  <c r="N33" i="14"/>
  <c r="E40" i="1" s="1"/>
  <c r="N26" i="14"/>
  <c r="E32" i="1" s="1"/>
  <c r="N27" i="14"/>
  <c r="E33" i="1" s="1"/>
  <c r="N34" i="14"/>
  <c r="E39" i="1" s="1"/>
  <c r="N22" i="14"/>
  <c r="E28" i="1" s="1"/>
  <c r="N32" i="14"/>
  <c r="E38" i="1" s="1"/>
  <c r="N31" i="14"/>
  <c r="E37" i="1" s="1"/>
  <c r="N30" i="14"/>
  <c r="E36" i="1" s="1"/>
  <c r="N29" i="14"/>
  <c r="E35" i="1" s="1"/>
  <c r="H28" i="14"/>
  <c r="N24" i="14"/>
  <c r="E30" i="1" s="1"/>
  <c r="I28" i="11"/>
  <c r="G28" i="11"/>
  <c r="E28" i="11"/>
  <c r="N28" i="14" l="1"/>
  <c r="E34" i="1" s="1"/>
  <c r="F67" i="13"/>
  <c r="F55" i="13"/>
  <c r="F54" i="13"/>
  <c r="F53" i="13"/>
  <c r="F52" i="13"/>
  <c r="F51" i="13"/>
  <c r="F50" i="13"/>
  <c r="F49" i="13"/>
  <c r="F47" i="13"/>
  <c r="F46" i="13"/>
  <c r="F45" i="13"/>
  <c r="F44" i="13"/>
  <c r="F42" i="13"/>
  <c r="G75" i="1"/>
  <c r="G74" i="1"/>
  <c r="G72" i="1"/>
  <c r="G65" i="1"/>
  <c r="G64" i="1"/>
  <c r="G60" i="1"/>
  <c r="G59" i="1"/>
  <c r="G53" i="1"/>
  <c r="G51" i="1"/>
  <c r="G48" i="1"/>
  <c r="G47" i="1"/>
  <c r="D44" i="1"/>
  <c r="B44" i="1"/>
  <c r="A76" i="1"/>
  <c r="A75" i="1"/>
  <c r="A74" i="1"/>
  <c r="A72" i="1"/>
  <c r="A70" i="1"/>
  <c r="A69" i="1"/>
  <c r="A65" i="1"/>
  <c r="A64" i="1"/>
  <c r="A63" i="1"/>
  <c r="A62" i="1"/>
  <c r="A60" i="1"/>
  <c r="A59" i="1"/>
  <c r="A58" i="1"/>
  <c r="A56" i="1"/>
  <c r="A53" i="1"/>
  <c r="A51" i="1"/>
  <c r="A50" i="1"/>
  <c r="A48" i="1"/>
  <c r="A47" i="1"/>
  <c r="A46" i="1"/>
  <c r="A44" i="1"/>
  <c r="I33" i="14"/>
  <c r="I28" i="14"/>
  <c r="I26" i="14"/>
  <c r="B23" i="1" l="1"/>
  <c r="Q31" i="1" s="1"/>
  <c r="G32" i="1"/>
  <c r="I27" i="14"/>
  <c r="G29" i="1"/>
  <c r="I24" i="14"/>
  <c r="G37" i="1"/>
  <c r="I32" i="14"/>
  <c r="I36" i="1"/>
  <c r="I31" i="14"/>
  <c r="I30" i="1"/>
  <c r="I25" i="14"/>
  <c r="I35" i="1"/>
  <c r="I30" i="14"/>
  <c r="G39" i="1"/>
  <c r="I34" i="14"/>
  <c r="I22" i="14"/>
  <c r="I34" i="1"/>
  <c r="I29" i="14"/>
  <c r="G55" i="1"/>
  <c r="G62" i="1"/>
  <c r="G69" i="1"/>
  <c r="G76" i="1"/>
  <c r="G46" i="1"/>
  <c r="G56" i="1"/>
  <c r="G63" i="1"/>
  <c r="G70" i="1"/>
  <c r="G50" i="1"/>
  <c r="G58" i="1"/>
  <c r="I31" i="1"/>
  <c r="G33" i="1"/>
  <c r="G38" i="1"/>
  <c r="R15" i="8" s="1"/>
  <c r="G30" i="1"/>
  <c r="G34" i="1"/>
  <c r="I38" i="1"/>
  <c r="G31" i="1"/>
  <c r="G35" i="1"/>
  <c r="I29" i="1"/>
  <c r="I33" i="1"/>
  <c r="I37" i="1"/>
  <c r="I39" i="1"/>
  <c r="I32" i="1"/>
  <c r="G36" i="1"/>
  <c r="E36" i="11"/>
  <c r="I36" i="11"/>
  <c r="G36" i="11"/>
  <c r="H32" i="11"/>
  <c r="F32" i="11"/>
  <c r="H33" i="11"/>
  <c r="F33" i="11"/>
  <c r="D33" i="11"/>
  <c r="D23" i="11"/>
  <c r="E23" i="11" s="1"/>
  <c r="I26" i="1"/>
  <c r="G44" i="1"/>
  <c r="A13" i="13"/>
  <c r="G37" i="11"/>
  <c r="K44" i="1"/>
  <c r="I37" i="11"/>
  <c r="E37" i="11"/>
  <c r="L44" i="1"/>
  <c r="J44" i="1"/>
  <c r="I32" i="11"/>
  <c r="G32" i="11"/>
  <c r="E32" i="11"/>
  <c r="G33" i="11"/>
  <c r="G30" i="11"/>
  <c r="E33" i="11"/>
  <c r="I33" i="11"/>
  <c r="E30" i="11"/>
  <c r="I30" i="11"/>
  <c r="G24" i="11"/>
  <c r="I24" i="11"/>
  <c r="E24" i="11"/>
  <c r="E31" i="11"/>
  <c r="I25" i="11"/>
  <c r="G25" i="11"/>
  <c r="E25" i="11"/>
  <c r="E34" i="11"/>
  <c r="I31" i="11"/>
  <c r="G34" i="11"/>
  <c r="G35" i="11"/>
  <c r="G31" i="11"/>
  <c r="E35" i="11"/>
  <c r="I34" i="11"/>
  <c r="I35" i="11"/>
  <c r="G27" i="11"/>
  <c r="I27" i="11"/>
  <c r="E27" i="11"/>
  <c r="D32" i="11"/>
  <c r="G78" i="1" l="1"/>
  <c r="Q26" i="1"/>
  <c r="I41" i="1"/>
  <c r="G41" i="1"/>
  <c r="F19" i="13"/>
  <c r="S15" i="8"/>
  <c r="R13" i="8"/>
  <c r="S13" i="8" s="1"/>
  <c r="R10" i="8"/>
  <c r="S10" i="8" s="1"/>
  <c r="F20" i="8"/>
  <c r="F23" i="8" s="1"/>
  <c r="H30" i="11"/>
  <c r="F30" i="11"/>
  <c r="D29" i="11"/>
  <c r="E29" i="11" s="1"/>
  <c r="H29" i="11"/>
  <c r="I29" i="11" s="1"/>
  <c r="F29" i="11"/>
  <c r="G29" i="11" s="1"/>
  <c r="F36" i="11"/>
  <c r="D28" i="11"/>
  <c r="F37" i="11"/>
  <c r="H37" i="11"/>
  <c r="F28" i="11"/>
  <c r="R11" i="8"/>
  <c r="S11" i="8" s="1"/>
  <c r="F26" i="13"/>
  <c r="D26" i="11"/>
  <c r="E26" i="11" s="1"/>
  <c r="F27" i="11"/>
  <c r="H36" i="11"/>
  <c r="D36" i="11"/>
  <c r="H31" i="11"/>
  <c r="H28" i="11"/>
  <c r="D37" i="11"/>
  <c r="D24" i="11"/>
  <c r="F24" i="11"/>
  <c r="F34" i="11"/>
  <c r="F31" i="11"/>
  <c r="D31" i="11"/>
  <c r="D25" i="11"/>
  <c r="H24" i="11"/>
  <c r="D35" i="11"/>
  <c r="F23" i="11"/>
  <c r="G23" i="11" s="1"/>
  <c r="H25" i="11"/>
  <c r="H23" i="11"/>
  <c r="I23" i="11" s="1"/>
  <c r="H34" i="11"/>
  <c r="F25" i="11"/>
  <c r="F35" i="11"/>
  <c r="D30" i="11"/>
  <c r="F26" i="11"/>
  <c r="G26" i="11" s="1"/>
  <c r="D34" i="11"/>
  <c r="D27" i="11"/>
  <c r="H35" i="11"/>
  <c r="H27" i="11"/>
  <c r="R18" i="8" l="1"/>
  <c r="S18" i="8"/>
  <c r="J41" i="1"/>
  <c r="H19" i="1"/>
  <c r="F71" i="13" s="1"/>
  <c r="J78" i="1"/>
  <c r="E11" i="8"/>
  <c r="H17" i="1"/>
  <c r="H26" i="11"/>
  <c r="I26" i="11" s="1"/>
  <c r="E4" i="8" l="1"/>
  <c r="E3" i="8"/>
  <c r="E5" i="8"/>
  <c r="F41" i="13"/>
  <c r="H21" i="1"/>
  <c r="E21" i="8"/>
  <c r="G21" i="8" s="1"/>
  <c r="B17" i="1"/>
  <c r="F15" i="8"/>
  <c r="E13" i="8"/>
  <c r="F14" i="8"/>
  <c r="F13" i="8"/>
  <c r="F12" i="8"/>
  <c r="F11" i="8"/>
  <c r="G11" i="8" s="1"/>
  <c r="E14" i="8"/>
  <c r="E15" i="8"/>
  <c r="E12" i="8"/>
  <c r="E22" i="8"/>
  <c r="G22" i="8" s="1"/>
  <c r="E20" i="8"/>
  <c r="G20" i="8" s="1"/>
  <c r="B18" i="1"/>
  <c r="P16" i="1"/>
  <c r="H10" i="8"/>
  <c r="G15" i="8" l="1"/>
  <c r="H13" i="8"/>
  <c r="H15" i="8"/>
  <c r="E23" i="8"/>
  <c r="G23" i="8" s="1"/>
  <c r="H11" i="8"/>
  <c r="H14" i="8"/>
  <c r="H12" i="8"/>
  <c r="G12" i="8"/>
  <c r="G14" i="8"/>
  <c r="G13" i="8"/>
  <c r="G16" i="8" l="1"/>
  <c r="B20" i="1" s="1"/>
  <c r="H16" i="8" a="1"/>
  <c r="H16" i="8" s="1"/>
  <c r="H19" i="8"/>
  <c r="J21" i="14" l="1"/>
  <c r="J20" i="14"/>
  <c r="P20" i="1"/>
  <c r="Q20" i="1" s="1"/>
  <c r="F14" i="13"/>
  <c r="G5" i="8"/>
  <c r="H22" i="8"/>
  <c r="H20" i="8"/>
  <c r="H21" i="8"/>
  <c r="H23" i="8" l="1" a="1"/>
  <c r="H23" i="8" s="1"/>
  <c r="P25" i="1" s="1"/>
  <c r="G4" i="8"/>
  <c r="G3" i="8" l="1"/>
  <c r="E6" i="8"/>
  <c r="Q25" i="1"/>
  <c r="G6" i="8" l="1"/>
  <c r="B21" i="1" s="1"/>
  <c r="H18" i="1" l="1"/>
  <c r="H20" i="1" l="1"/>
  <c r="H23" i="1" s="1"/>
  <c r="F16" i="13"/>
  <c r="J33" i="14"/>
  <c r="J34" i="14"/>
  <c r="J31" i="14"/>
  <c r="J32" i="14"/>
  <c r="J29" i="14"/>
  <c r="J30" i="14"/>
  <c r="J27" i="14"/>
  <c r="J28" i="14"/>
  <c r="J25" i="14"/>
  <c r="J26" i="14"/>
  <c r="J23" i="14"/>
  <c r="J24" i="14"/>
  <c r="F15" i="13"/>
  <c r="J22" i="14"/>
  <c r="H22" i="1"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<sst xmlns="http://schemas.openxmlformats.org/spreadsheetml/2006/main" count="471" uniqueCount="286">
  <si>
    <t>Package</t>
  </si>
  <si>
    <t>Article Number</t>
  </si>
  <si>
    <t>10 x 0.49 lb</t>
  </si>
  <si>
    <t>1 x 50 lb</t>
  </si>
  <si>
    <t>6 x 3 lb</t>
  </si>
  <si>
    <t>1 x 36 lb</t>
  </si>
  <si>
    <t>4 x 30.5 fl oz</t>
  </si>
  <si>
    <t>4 x 1 lb</t>
  </si>
  <si>
    <t>1 x 15 gal</t>
  </si>
  <si>
    <t>4 x 11.4 oz</t>
  </si>
  <si>
    <t>Qaulifying Non-Agency Products</t>
  </si>
  <si>
    <t>Calculator Acreage</t>
  </si>
  <si>
    <t>Acre Coverage</t>
  </si>
  <si>
    <t>Product Name</t>
  </si>
  <si>
    <t>Article #</t>
  </si>
  <si>
    <t>Package Size</t>
  </si>
  <si>
    <t>Price/Case</t>
  </si>
  <si>
    <t>Low Rate</t>
  </si>
  <si>
    <t>High rate</t>
  </si>
  <si>
    <t>Xzemplar</t>
  </si>
  <si>
    <t>2 x 114 oz</t>
  </si>
  <si>
    <t>Emerald</t>
  </si>
  <si>
    <t>10 x .49 lb.</t>
  </si>
  <si>
    <t>50 x .49 lb.</t>
  </si>
  <si>
    <t>2 x 2.5 gal</t>
  </si>
  <si>
    <t>Lexicon</t>
  </si>
  <si>
    <t>4 x 21 oz</t>
  </si>
  <si>
    <t>Honor</t>
  </si>
  <si>
    <t>Insignia SC</t>
  </si>
  <si>
    <t>4 x 30.5 oz</t>
  </si>
  <si>
    <t>2x2.5 gal</t>
  </si>
  <si>
    <t>Acres Low</t>
  </si>
  <si>
    <t>Acres High</t>
  </si>
  <si>
    <t>Oct</t>
  </si>
  <si>
    <t>Nov-Dec</t>
  </si>
  <si>
    <t>Low</t>
  </si>
  <si>
    <t>High</t>
  </si>
  <si>
    <t>Discount</t>
  </si>
  <si>
    <t>Oct Applied</t>
  </si>
  <si>
    <t>Nov-Dec Applied</t>
  </si>
  <si>
    <t>DISCOUNT</t>
  </si>
  <si>
    <t>Case Size</t>
  </si>
  <si>
    <t>Fairways</t>
  </si>
  <si>
    <t>Greens</t>
  </si>
  <si>
    <t>Total Acres</t>
  </si>
  <si>
    <t>Applications</t>
  </si>
  <si>
    <t>High Rate</t>
  </si>
  <si>
    <t>Nov-Dec Order (Cases)</t>
  </si>
  <si>
    <t>Nov-Dec Sales</t>
  </si>
  <si>
    <t>Oct Order (Cases)</t>
  </si>
  <si>
    <t>Oct Sales</t>
  </si>
  <si>
    <t>Rebate Applied</t>
  </si>
  <si>
    <t>Pillar G</t>
  </si>
  <si>
    <t xml:space="preserve">30 lbs </t>
  </si>
  <si>
    <t>Mid Rate</t>
  </si>
  <si>
    <t>Acres Mid</t>
  </si>
  <si>
    <t>Price</t>
  </si>
  <si>
    <t>Quantity</t>
  </si>
  <si>
    <t>Total</t>
  </si>
  <si>
    <t>Your Order Detail</t>
  </si>
  <si>
    <t>Order For</t>
  </si>
  <si>
    <t>Order Prepared By</t>
  </si>
  <si>
    <t>Fairways &amp; Tees Acres</t>
  </si>
  <si>
    <t>&lt;Enter Customer Name&gt;</t>
  </si>
  <si>
    <t>&lt;Enter Business Name&gt;</t>
  </si>
  <si>
    <t>&lt;City, ST Zip Code&gt;</t>
  </si>
  <si>
    <t>&lt;Phone&gt;</t>
  </si>
  <si>
    <t>&lt;email address&gt;</t>
  </si>
  <si>
    <t>Rebate Summary</t>
  </si>
  <si>
    <t>Article No.</t>
  </si>
  <si>
    <t>&lt;Enter Name&gt;</t>
  </si>
  <si>
    <t>Total EOP Rebate</t>
  </si>
  <si>
    <t>Total Purchase</t>
  </si>
  <si>
    <t>EOP Rebate Calculator</t>
  </si>
  <si>
    <t>TOTAL EOP PURCHASE</t>
  </si>
  <si>
    <t>TOTAL EOP Rebate</t>
  </si>
  <si>
    <t>Redemption Value</t>
  </si>
  <si>
    <t>Use Area</t>
  </si>
  <si>
    <r>
      <t xml:space="preserve">Please complete </t>
    </r>
    <r>
      <rPr>
        <b/>
        <i/>
        <sz val="10"/>
        <rFont val="Arial"/>
        <family val="2"/>
      </rPr>
      <t>Yellow</t>
    </r>
    <r>
      <rPr>
        <b/>
        <i/>
        <sz val="10"/>
        <color theme="1"/>
        <rFont val="Arial"/>
        <family val="2"/>
      </rPr>
      <t xml:space="preserve"> "Use Area" cells with either Fairways or Greens</t>
    </r>
  </si>
  <si>
    <r>
      <t xml:space="preserve">Enter Acres for your Course </t>
    </r>
    <r>
      <rPr>
        <b/>
        <i/>
        <sz val="10"/>
        <color theme="1"/>
        <rFont val="Arial"/>
        <family val="2"/>
      </rPr>
      <t>(Required)</t>
    </r>
  </si>
  <si>
    <t>Fungicide Planner</t>
  </si>
  <si>
    <t>2x 2.5 gal</t>
  </si>
  <si>
    <t>Emerald® Fungicide</t>
  </si>
  <si>
    <t>Honor® Intrinsic™ brand Fungicide</t>
  </si>
  <si>
    <t>Insignia® SC Intrinsic™ brand Fungicide</t>
  </si>
  <si>
    <t>Lexicon® Intrinsic™ Brand Fungicide</t>
  </si>
  <si>
    <t>Xzemplar™ Fungicide</t>
  </si>
  <si>
    <t>Xzemplar™Fungicide</t>
  </si>
  <si>
    <t>Greens Acres</t>
  </si>
  <si>
    <t>Amdro Pro Fire Ant Bait</t>
  </si>
  <si>
    <t>1 x 25lbs</t>
  </si>
  <si>
    <t>40 lbs bag</t>
  </si>
  <si>
    <t>30 lbs bag</t>
  </si>
  <si>
    <t>15 lbs bag</t>
  </si>
  <si>
    <t>15 lbs</t>
  </si>
  <si>
    <t>1 x 30 gal</t>
  </si>
  <si>
    <t>Standard</t>
  </si>
  <si>
    <t>4 x26 oz</t>
  </si>
  <si>
    <t>4x37 fl oz</t>
  </si>
  <si>
    <t>20 lbs bag</t>
  </si>
  <si>
    <t>Product</t>
  </si>
  <si>
    <t>BASF has developed this calculator using formulas that approximate the rebate amount under the 2020 Early Order Program.  The calculator is being shared with you for information purposes only and for your private use in preparing your own calculations. While every effort has been made to ensure the accuracy and reliability of the information and formulas, no guarantee is given nor responsibility taken by BASF for the accuracy of the calculator or the applicability to your particular circumstances.
BASF PROVIDES THIS CALCULATOR AND ANY RESULT THEREFROM AS IS WITH ALL FAULTS AND WITH NO WARRANTY WHATSOEVER, EITHER EXPRESS OR IMPLIED, INCLUDING ANY WARRANTIES OF MERCHANTABILITY AND FITNESS FOR PARTICULAR PURPOSE.  YOU ASSUME ANY AND ALL RISKS IN USING THE CALCULATOR AND RELYING ON THE INFORMATION CONTAINED HEREIN.  IN NO CIRCUMSTANCES SHALL BASF BE LIABLE FOR ANY DAMAGES WHATSOEVER, INCLUDING BUT NOT LIMITED TO LOSS OF PROFIT, LOSS OF BUSINESS, LOSS OF SAVINGS, OR CONSEQUENTIAL DAMAGES, EVEN IF BASF HAS BEEN NOTIFIED AS SUCH.</t>
  </si>
  <si>
    <t>Article</t>
  </si>
  <si>
    <t>Article#</t>
  </si>
  <si>
    <t>Maxtima</t>
  </si>
  <si>
    <t>Navicon</t>
  </si>
  <si>
    <t>3 or More Fungicide Brands</t>
  </si>
  <si>
    <t>Acres</t>
  </si>
  <si>
    <t>Rate</t>
  </si>
  <si>
    <t>Number of Applications</t>
  </si>
  <si>
    <t>Coverage</t>
  </si>
  <si>
    <t>Cases of Product Needed</t>
  </si>
  <si>
    <t>Application Rate</t>
  </si>
  <si>
    <t>BASF Brand Name</t>
  </si>
  <si>
    <t>Cost per Acre
(before rebate)</t>
  </si>
  <si>
    <t>Pillar G Intrinsic™</t>
  </si>
  <si>
    <t>Navicon Intrinsic™ brand Fungicide</t>
  </si>
  <si>
    <t>Maxtima Fungicide</t>
  </si>
  <si>
    <t>EOP Sales</t>
  </si>
  <si>
    <t>EOP Order (Cases)</t>
  </si>
  <si>
    <t>Qualifying EOP Products</t>
  </si>
  <si>
    <t>Qualifying Fungicide EOP Products</t>
  </si>
  <si>
    <t>Oct Count</t>
  </si>
  <si>
    <t>Nov-Dec Count</t>
  </si>
  <si>
    <t>Oct Order</t>
  </si>
  <si>
    <t>Nov-Dec Order</t>
  </si>
  <si>
    <t>Cases</t>
  </si>
  <si>
    <t>QUALIFYING FUNGICIDE EOP SUB-TOTAL</t>
  </si>
  <si>
    <t>QUALIFYING EOP PRODUCTS SUB-TOTAL</t>
  </si>
  <si>
    <t>4 x 26 oz</t>
  </si>
  <si>
    <t>4 x 37 fl oz</t>
  </si>
  <si>
    <t>4 x 1 gal</t>
  </si>
  <si>
    <t>2 x 1 gal</t>
  </si>
  <si>
    <t>4 x 0.5 gal</t>
  </si>
  <si>
    <t>4 x 0.125 gal</t>
  </si>
  <si>
    <t>12 x 0.25 gal</t>
  </si>
  <si>
    <t>4 x 20 oz</t>
  </si>
  <si>
    <t>Emerald®</t>
  </si>
  <si>
    <t>Maxtima® Fungicide</t>
  </si>
  <si>
    <t>Maxtima®</t>
  </si>
  <si>
    <t>Navicon® Intrinsic™ brand Fungicide</t>
  </si>
  <si>
    <t>Table B for Fungicides</t>
  </si>
  <si>
    <t>Pageant® Intrinsic® brand Fungicide</t>
  </si>
  <si>
    <t>Green Lawnger® Transition HC colorant</t>
  </si>
  <si>
    <t>Tower® herbicide</t>
  </si>
  <si>
    <t>Siesta® Fire Ant Bait</t>
  </si>
  <si>
    <t>Segment® II herbicide</t>
  </si>
  <si>
    <t>Sultan® miticide</t>
  </si>
  <si>
    <t>FreeHand® 1.75G herbicide</t>
  </si>
  <si>
    <t>Pendulum® AquaCap herbicide</t>
  </si>
  <si>
    <t>Emerald® fungicide</t>
  </si>
  <si>
    <t>Honor® Intrinsic® brand fungicide</t>
  </si>
  <si>
    <t>Insignia® SC Intrinsic® brand fungicide</t>
  </si>
  <si>
    <t>Lexicon® Intrinsic® brand fungicide</t>
  </si>
  <si>
    <t>Maxtima® fungicide</t>
  </si>
  <si>
    <t>Navicon® Intrinsic® brand fungicide</t>
  </si>
  <si>
    <t>Xzemplar® fungicide</t>
  </si>
  <si>
    <t>Green Lawnger® colorant</t>
  </si>
  <si>
    <t>Green Lawnger® Vision Pro colorant</t>
  </si>
  <si>
    <t>Pillar® G Intrinsic® brand fungicide</t>
  </si>
  <si>
    <t>Orkestra® Intrinsic® brand Fungicide</t>
  </si>
  <si>
    <t>Pendulum® 2G herbicide</t>
  </si>
  <si>
    <t>Pylex® herbicide</t>
  </si>
  <si>
    <t>Basagran® herbicide</t>
  </si>
  <si>
    <t>Drive® XLR8 herbicide</t>
  </si>
  <si>
    <t>Admiral® lake colorant</t>
  </si>
  <si>
    <t>FreeHand® 1.75G CA herbicide</t>
  </si>
  <si>
    <t>Honor® Intrinsic®</t>
  </si>
  <si>
    <t>Insignia® SC Intrinsic®</t>
  </si>
  <si>
    <t>Lexicon® Intrinsic®</t>
  </si>
  <si>
    <t>Navicon® Intrinsic®</t>
  </si>
  <si>
    <t>Xzemplar®</t>
  </si>
  <si>
    <t>roundup</t>
  </si>
  <si>
    <t>ceiling</t>
  </si>
  <si>
    <t>Mid2 Rate</t>
  </si>
  <si>
    <t>Insignia</t>
  </si>
  <si>
    <t xml:space="preserve">Xzemplar </t>
  </si>
  <si>
    <t>All</t>
  </si>
  <si>
    <t>Brand</t>
  </si>
  <si>
    <t>Rate Level Above</t>
  </si>
  <si>
    <t>Case UOM</t>
  </si>
  <si>
    <t>Price/UOM</t>
  </si>
  <si>
    <t>Case Price</t>
  </si>
  <si>
    <t>Black Onyx lake &amp; pond colorant</t>
  </si>
  <si>
    <t>Turf Mark spray indicator - blue</t>
  </si>
  <si>
    <t>Next Level</t>
  </si>
  <si>
    <t>Design Your Own Program Fungicide Planner</t>
  </si>
  <si>
    <t>Ventigra® insecticide</t>
  </si>
  <si>
    <t>4 x 16 oz</t>
  </si>
  <si>
    <t>4 x 4 oz</t>
  </si>
  <si>
    <t>Encartis® fungicide</t>
  </si>
  <si>
    <t>Encartis</t>
  </si>
  <si>
    <t>Encartis®</t>
  </si>
  <si>
    <t xml:space="preserve">Finale®  XL T&amp;O herbicide </t>
  </si>
  <si>
    <t>130.5 fl oz</t>
  </si>
  <si>
    <t>152.5 fl oz</t>
  </si>
  <si>
    <t>174.0 fl oz</t>
  </si>
  <si>
    <t>Insecticides</t>
  </si>
  <si>
    <t>Fungicides</t>
  </si>
  <si>
    <t>Herbicides</t>
  </si>
  <si>
    <t>Colorants</t>
  </si>
  <si>
    <t>Earned Incentive %</t>
  </si>
  <si>
    <r>
      <t xml:space="preserve">Cases Needed </t>
    </r>
    <r>
      <rPr>
        <b/>
        <sz val="8"/>
        <color theme="0"/>
        <rFont val="Arial"/>
        <family val="2"/>
      </rPr>
      <t>(rounded up to partial cases)</t>
    </r>
  </si>
  <si>
    <t>Select Rate</t>
  </si>
  <si>
    <t>4 x 43.5 oz</t>
  </si>
  <si>
    <t>4 x 122 oz</t>
  </si>
  <si>
    <t>Alucion® 35 WG insecticide</t>
  </si>
  <si>
    <t>&lt;--</t>
  </si>
  <si>
    <r>
      <t>Insignia</t>
    </r>
    <r>
      <rPr>
        <vertAlign val="superscript"/>
        <sz val="9"/>
        <rFont val="Calibri"/>
        <family val="2"/>
        <scheme val="minor"/>
      </rPr>
      <t>®</t>
    </r>
    <r>
      <rPr>
        <sz val="9"/>
        <rFont val="Calibri"/>
        <family val="2"/>
        <scheme val="minor"/>
      </rPr>
      <t xml:space="preserve"> SC Intrinsic® brand fungicide</t>
    </r>
  </si>
  <si>
    <r>
      <t>Cost per Acre
(after rebate</t>
    </r>
    <r>
      <rPr>
        <b/>
        <sz val="12"/>
        <color rgb="FFFF0000"/>
        <rFont val="Arial"/>
        <family val="2"/>
      </rPr>
      <t>*</t>
    </r>
    <r>
      <rPr>
        <b/>
        <sz val="10"/>
        <color theme="0"/>
        <rFont val="Arial"/>
        <family val="2"/>
      </rPr>
      <t>)</t>
    </r>
  </si>
  <si>
    <t>Qualifying EOP Purchase Level (Excluding DYOP Fungicides)</t>
  </si>
  <si>
    <t>DYOP Rebate</t>
  </si>
  <si>
    <t>Across-The-Course Rebate</t>
  </si>
  <si>
    <r>
      <rPr>
        <b/>
        <i/>
        <sz val="14"/>
        <color rgb="FFFF0000"/>
        <rFont val="Arial"/>
        <family val="2"/>
      </rPr>
      <t>*</t>
    </r>
    <r>
      <rPr>
        <b/>
        <i/>
        <sz val="14"/>
        <color theme="1"/>
        <rFont val="Arial"/>
        <family val="2"/>
      </rPr>
      <t xml:space="preserve"> Cost per Acre after rebate is estimated based on orders in "Step 2 - Order Planner" tab</t>
    </r>
  </si>
  <si>
    <t>DYOP Total Purchases</t>
  </si>
  <si>
    <t>Qualifying Fungicide Purchase Level (DYOP)</t>
  </si>
  <si>
    <t>DYOP Rebate Program Locked</t>
  </si>
  <si>
    <t>Spend for Next DYOP Level</t>
  </si>
  <si>
    <t>Upgrade Your DYOP Rebate</t>
  </si>
  <si>
    <t>DYOP Rebate Attained</t>
  </si>
  <si>
    <t>10 x 2.375 lbs</t>
  </si>
  <si>
    <t>oz</t>
  </si>
  <si>
    <t>30.5 oz</t>
  </si>
  <si>
    <t>8.0 oz</t>
  </si>
  <si>
    <t>48.0 oz</t>
  </si>
  <si>
    <t>21.0 oz</t>
  </si>
  <si>
    <t>37.5 oz</t>
  </si>
  <si>
    <t>DYOP</t>
  </si>
  <si>
    <t>$8,000-$19,999</t>
  </si>
  <si>
    <t>$3,000-$7,999</t>
  </si>
  <si>
    <t>$20,000+</t>
  </si>
  <si>
    <t>Design Your Own Program (DYOP)</t>
  </si>
  <si>
    <t>$3,000-$7,999 (Par)</t>
  </si>
  <si>
    <t>$8,000-$19,999 (Birdie)</t>
  </si>
  <si>
    <t>$20,000-$29,999 (Eagle)</t>
  </si>
  <si>
    <t>$30,000-$39,999 (Albatross)</t>
  </si>
  <si>
    <t>$40,000+ (Ace)</t>
  </si>
  <si>
    <t>Pillar® SC Intrinsic brand fungicide</t>
  </si>
  <si>
    <t>Spray Indicators</t>
  </si>
  <si>
    <t>Design-Your-Own-Program Rebate Purchases Sub-Total</t>
  </si>
  <si>
    <t>Across the Course Solutions (ACS)</t>
  </si>
  <si>
    <t>Across-the-Course-Solutions Purchases</t>
  </si>
  <si>
    <t>Across-the-Course-Solutions Rebate</t>
  </si>
  <si>
    <t>17% (+12% on ACS brands)</t>
  </si>
  <si>
    <t>20% (+12% on ACS brands)</t>
  </si>
  <si>
    <t>24% (+12% on ACS brands)</t>
  </si>
  <si>
    <t>10% (+12% on ACS brands)</t>
  </si>
  <si>
    <t>CA Redemption</t>
  </si>
  <si>
    <t>NO CA</t>
  </si>
  <si>
    <t>Total Effective Rebate on All Purchases</t>
  </si>
  <si>
    <t>Across-the-Course-Solutions Rebate Purchase Sub-Total</t>
  </si>
  <si>
    <t>One (1) Qualifying Brand</t>
  </si>
  <si>
    <t>Three (3) Qualifying Brands</t>
  </si>
  <si>
    <t>9% (+12% on ACS brands)</t>
  </si>
  <si>
    <t>12% (+12% on ACS Brands)</t>
  </si>
  <si>
    <t>(Eagle, Albatross, Ace DYOP customers  automatically qualify for this tier)</t>
  </si>
  <si>
    <t>Aramax™ Intrinsic® Brand Fungicide</t>
  </si>
  <si>
    <t>Aramax</t>
  </si>
  <si>
    <t>Quantity Ordered</t>
  </si>
  <si>
    <t>Conv. to bottle</t>
  </si>
  <si>
    <t>Aramax™ Intrinsic® Kicker (bottles)</t>
  </si>
  <si>
    <t>Discontinued</t>
  </si>
  <si>
    <t>lawn care only</t>
  </si>
  <si>
    <t>Discontinued ???</t>
  </si>
  <si>
    <t>Aramax™ Intrinsic®</t>
  </si>
  <si>
    <t>Aramax™ SC Intrinsic® Kicker Rebate</t>
  </si>
  <si>
    <t>Aramax™ SC Intrinsic® % Attained</t>
  </si>
  <si>
    <t>DYOP Brand Requirements</t>
  </si>
  <si>
    <t>Spend for Next ACS Level</t>
  </si>
  <si>
    <t>BASF has developed this calculator using formulas that approximate the rebate amount under the 2026 Early Order Program.  The calculator is being shared with you for information purposes only and for your private use in preparing your own calculations. While every effort has been made to ensure the accuracy and reliability of the information and formulas, no guarantee is given nor responsibility taken by BASF for the accuracy of the calculator or the applicability to your particular circumstances.
BASF PROVIDES THIS CALCULATOR AND ANY RESULT THEREFROM AS IS WITH ALL FAULTS AND WITH NO WARRANTY WHATSOEVER, EITHER EXPRESS OR IMPLIED, INCLUDING ANY WARRANTIES OF MERCHANTABILITY AND FITNESS FOR PARTICULAR PURPOSE.  YOU ASSUME ANY AND ALL RISKS IN USING THE CALCULATOR AND RELYING ON THE INFORMATION CONTAINED HEREIN.  IN NO CIRCUMSTANCES SHALL BASF BE LIABLE FOR ANY DAMAGES WHATSOEVER, INCLUDING BUT NOT LIMITED TO LOSS OF PROFIT, LOSS OF BUSINESS, LOSS OF SAVINGS, OR CONSEQUENTIAL DAMAGES, EVEN IF BASF HAS BEEN NOTIFIED AS SUCH.</t>
  </si>
  <si>
    <t>BASF 2026 EOP ORDER SUMMARY</t>
  </si>
  <si>
    <t>Oct. 1-31, 2025</t>
  </si>
  <si>
    <t>Nov. 1-Dec. 5, 2025</t>
  </si>
  <si>
    <t>Oct.1-Dec. 1, 2025</t>
  </si>
  <si>
    <t>Tower® Herbicide Fairway Kicker Rebate</t>
  </si>
  <si>
    <t>Tower® Herbicide Fairway Kicker (bottles)</t>
  </si>
  <si>
    <t>Aramax™ Intrinsic brand fungicide</t>
  </si>
  <si>
    <t>4 x 43.5 fl oz</t>
  </si>
  <si>
    <t>2026 Qualifying Fungicides</t>
  </si>
  <si>
    <t>2026 Rest of Portfolio</t>
  </si>
  <si>
    <t>x</t>
  </si>
  <si>
    <t>Tower® Herbicide Fairway Kicker % Attained</t>
  </si>
  <si>
    <t>Aramax™ Intrinsic® brand Fungicide</t>
  </si>
  <si>
    <t>gal</t>
  </si>
  <si>
    <t>foz</t>
  </si>
  <si>
    <t>43.5 oz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</si>
</sst>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_(&quot;$&quot;* \(#,##0.00\);_(&quot;$&quot;* &quot;-&quot;??_);_(@_)"/>
    <numFmt numFmtId="43" formatCode="_(* #,##0.00_);_(* \(#,##0.00\);_(* &quot;-&quot;??_);_(@_)"/>
    <numFmt numFmtId="164" formatCode="_(* #,##0.0_);_(* \(#,##0.0\);_(* &quot;-&quot;??_);_(@_)"/>
    <numFmt numFmtId="165" formatCode="[$-409]mmmm\ d\,\ yyyy;@"/>
    <numFmt numFmtId="166" formatCode="_(* #,##0.000000_);_(* \(#,##0.000000\);_(* &quot;-&quot;??_);_(@_)"/>
    <numFmt numFmtId="167" formatCode="0.000"/>
    <numFmt numFmtId="168" formatCode="0.0000000"/>
    <numFmt numFmtId="169" formatCode="_(* #,##0.0000000_);_(* \(#,##0.0000000\);_(* &quot;-&quot;??_);_(@_)"/>
  </numFmts>
  <fonts count="48" x14ac:knownFonts="1">
    <font>
      <sz val="10"/>
      <color theme="1"/>
      <name val="Arial"/>
      <family val="2"/>
    </font>
    <font>
      <sz val="10"/>
      <color theme="1"/>
      <name val="Arial"/>
      <family val="2"/>
    </font>
    <font>
      <sz val="10"/>
      <name val="Arial"/>
      <family val="2"/>
    </font>
    <font>
      <sz val="10"/>
      <name val="Arial"/>
      <family val="2"/>
    </font>
    <font>
      <sz val="11"/>
      <color theme="1"/>
      <name val="Calibri"/>
      <family val="2"/>
      <scheme val="minor"/>
    </font>
    <font>
      <sz val="9"/>
      <color theme="1"/>
      <name val="Calibri"/>
      <family val="2"/>
      <scheme val="minor"/>
    </font>
    <font>
      <sz val="9"/>
      <name val="Calibri"/>
      <family val="2"/>
      <scheme val="minor"/>
    </font>
    <font>
      <b/>
      <sz val="9"/>
      <name val="Calibri"/>
      <family val="2"/>
      <scheme val="minor"/>
    </font>
    <font>
      <sz val="11"/>
      <color theme="1"/>
      <name val="Arial"/>
      <family val="2"/>
    </font>
    <font>
      <b/>
      <sz val="11"/>
      <color theme="1"/>
      <name val="Calibri"/>
      <family val="2"/>
      <scheme val="minor"/>
    </font>
    <font>
      <sz val="10"/>
      <color theme="1"/>
      <name val="Calibri"/>
      <family val="2"/>
      <scheme val="minor"/>
    </font>
    <font>
      <sz val="10"/>
      <name val="Calibri"/>
      <family val="2"/>
      <scheme val="minor"/>
    </font>
    <font>
      <sz val="14"/>
      <color theme="1"/>
      <name val="Arial"/>
      <family val="2"/>
    </font>
    <font>
      <b/>
      <sz val="10"/>
      <color theme="1"/>
      <name val="Arial"/>
      <family val="2"/>
    </font>
    <font>
      <b/>
      <sz val="12"/>
      <color theme="1"/>
      <name val="Arial"/>
      <family val="2"/>
    </font>
    <font>
      <sz val="20"/>
      <color theme="1"/>
      <name val="Arial"/>
      <family val="2"/>
    </font>
    <font>
      <sz val="12"/>
      <color theme="1"/>
      <name val="Arial"/>
      <family val="2"/>
    </font>
    <font>
      <b/>
      <i/>
      <sz val="9"/>
      <color theme="1"/>
      <name val="Arial"/>
      <family val="2"/>
    </font>
    <font>
      <b/>
      <sz val="16"/>
      <color theme="1"/>
      <name val="Arial"/>
      <family val="2"/>
    </font>
    <font>
      <i/>
      <sz val="10"/>
      <color theme="1"/>
      <name val="Arial"/>
      <family val="2"/>
    </font>
    <font>
      <sz val="16"/>
      <color theme="1"/>
      <name val="Arial"/>
      <family val="2"/>
    </font>
    <font>
      <b/>
      <i/>
      <sz val="10"/>
      <color theme="1"/>
      <name val="Arial"/>
      <family val="2"/>
    </font>
    <font>
      <b/>
      <sz val="10"/>
      <name val="Arial"/>
      <family val="2"/>
    </font>
    <font>
      <b/>
      <sz val="11"/>
      <color theme="1"/>
      <name val="Arial"/>
      <family val="2"/>
    </font>
    <font>
      <b/>
      <sz val="14"/>
      <color theme="1"/>
      <name val="Arial"/>
      <family val="2"/>
    </font>
    <font>
      <b/>
      <i/>
      <sz val="10"/>
      <name val="Arial"/>
      <family val="2"/>
    </font>
    <font>
      <sz val="12"/>
      <color rgb="FF000000"/>
      <name val="Arial"/>
      <family val="2"/>
    </font>
    <font>
      <b/>
      <sz val="12"/>
      <color rgb="FF000000"/>
      <name val="Arial"/>
      <family val="2"/>
    </font>
    <font>
      <b/>
      <sz val="9"/>
      <color theme="1"/>
      <name val="Calibri"/>
      <family val="2"/>
      <scheme val="minor"/>
    </font>
    <font>
      <b/>
      <sz val="10"/>
      <color theme="0"/>
      <name val="Arial"/>
      <family val="2"/>
    </font>
    <font>
      <sz val="10"/>
      <color theme="0"/>
      <name val="Arial"/>
      <family val="2"/>
    </font>
    <font>
      <b/>
      <sz val="9"/>
      <color theme="0"/>
      <name val="Arial"/>
      <family val="2"/>
    </font>
    <font>
      <b/>
      <sz val="10"/>
      <color theme="1"/>
      <name val="Calibri"/>
      <family val="2"/>
      <scheme val="minor"/>
    </font>
    <font>
      <b/>
      <i/>
      <sz val="14"/>
      <color theme="1"/>
      <name val="Arial"/>
      <family val="2"/>
    </font>
    <font>
      <b/>
      <sz val="8"/>
      <color theme="0"/>
      <name val="Arial"/>
      <family val="2"/>
    </font>
    <font>
      <b/>
      <sz val="9"/>
      <name val="Arial"/>
      <family val="2"/>
    </font>
    <font>
      <b/>
      <sz val="11"/>
      <color theme="0"/>
      <name val="Arial"/>
      <family val="2"/>
    </font>
    <font>
      <b/>
      <sz val="12"/>
      <color theme="0"/>
      <name val="Arial"/>
      <family val="2"/>
    </font>
    <font>
      <b/>
      <sz val="11"/>
      <name val="Arial"/>
      <family val="2"/>
    </font>
    <font>
      <b/>
      <sz val="14"/>
      <name val="Arial"/>
      <family val="2"/>
    </font>
    <font>
      <b/>
      <sz val="12"/>
      <name val="Arial"/>
      <family val="2"/>
    </font>
    <font>
      <vertAlign val="superscript"/>
      <sz val="9"/>
      <name val="Calibri"/>
      <family val="2"/>
      <scheme val="minor"/>
    </font>
    <font>
      <b/>
      <i/>
      <sz val="14"/>
      <color rgb="FFFF0000"/>
      <name val="Arial"/>
      <family val="2"/>
    </font>
    <font>
      <b/>
      <sz val="12"/>
      <color rgb="FFFF0000"/>
      <name val="Arial"/>
      <family val="2"/>
    </font>
    <font>
      <b/>
      <sz val="18"/>
      <color theme="1"/>
      <name val="Arial"/>
      <family val="2"/>
    </font>
    <font>
      <b/>
      <sz val="16"/>
      <name val="Arial"/>
      <family val="2"/>
    </font>
    <font>
      <b/>
      <sz val="18"/>
      <name val="Arial"/>
      <family val="2"/>
    </font>
    <font>
      <b/>
      <sz val="7"/>
      <color theme="1"/>
      <name val="Arial"/>
      <family val="2"/>
    </font>
  </fonts>
  <fills count="26">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6" tint="0.39997558519241921"/>
        <bgColor indexed="64"/>
      </patternFill>
    </fill>
    <fill>
      <patternFill patternType="solid">
        <fgColor theme="9"/>
        <bgColor indexed="64"/>
      </patternFill>
    </fill>
    <fill>
      <patternFill patternType="solid">
        <fgColor theme="9" tint="0.59999389629810485"/>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2" tint="-9.9978637043366805E-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39997558519241921"/>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rgb="FF004A96"/>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rgb="FF21A0D2"/>
        <bgColor indexed="64"/>
      </patternFill>
    </fill>
    <fill>
      <patternFill patternType="solid">
        <fgColor rgb="FF00793A"/>
        <bgColor indexed="64"/>
      </patternFill>
    </fill>
    <fill>
      <patternFill patternType="solid">
        <fgColor rgb="FF65AC1E"/>
        <bgColor indexed="64"/>
      </patternFill>
    </fill>
    <fill>
      <patternFill patternType="solid">
        <fgColor rgb="FFFFC000"/>
        <bgColor indexed="64"/>
      </patternFill>
    </fill>
    <fill>
      <patternFill patternType="solid">
        <fgColor theme="5" tint="0.59999389629810485"/>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style="thin">
        <color auto="1"/>
      </bottom>
      <diagonal/>
    </border>
    <border>
      <left style="thin">
        <color auto="1"/>
      </left>
      <right style="thin">
        <color auto="1"/>
      </right>
      <top/>
      <bottom style="thin">
        <color auto="1"/>
      </bottom>
      <diagonal/>
    </border>
    <border>
      <left/>
      <right/>
      <top/>
      <bottom style="thin">
        <color auto="1"/>
      </bottom>
      <diagonal/>
    </border>
    <border>
      <left style="thin">
        <color auto="1"/>
      </left>
      <right/>
      <top style="thin">
        <color auto="1"/>
      </top>
      <bottom/>
      <diagonal/>
    </border>
    <border>
      <left style="thin">
        <color auto="1"/>
      </left>
      <right/>
      <top/>
      <bottom style="thin">
        <color auto="1"/>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style="thin">
        <color auto="1"/>
      </right>
      <top/>
      <bottom style="thin">
        <color auto="1"/>
      </bottom>
      <diagonal/>
    </border>
    <border>
      <left style="thin">
        <color auto="1"/>
      </left>
      <right style="thin">
        <color auto="1"/>
      </right>
      <top/>
      <bottom/>
      <diagonal/>
    </border>
    <border>
      <left/>
      <right/>
      <top style="thin">
        <color auto="1"/>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style="medium">
        <color indexed="64"/>
      </top>
      <bottom/>
      <diagonal/>
    </border>
    <border>
      <left/>
      <right style="medium">
        <color indexed="64"/>
      </right>
      <top/>
      <bottom/>
      <diagonal/>
    </border>
  </borders>
  <cellStyleXfs count="40">
    <xf numFmtId="0" fontId="0" fillId="0" borderId="0"/>
    <xf numFmtId="0" fontId="2"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2" fillId="0" borderId="0" applyFont="0" applyFill="0" applyBorder="0" applyAlignment="0" applyProtection="0"/>
    <xf numFmtId="44" fontId="3"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1" fillId="0" borderId="0"/>
    <xf numFmtId="9" fontId="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0" fontId="8" fillId="0" borderId="0"/>
    <xf numFmtId="44" fontId="8" fillId="0" borderId="0" applyFont="0" applyFill="0" applyBorder="0" applyAlignment="0" applyProtection="0"/>
    <xf numFmtId="9" fontId="8" fillId="0" borderId="0" applyFont="0" applyFill="0" applyBorder="0" applyAlignment="0" applyProtection="0"/>
  </cellStyleXfs>
  <cellXfs count="313">
    <xf numFmtId="0" fontId="0" fillId="0" borderId="0" xfId="0"/>
    <xf numFmtId="0" fontId="6" fillId="2" borderId="1" xfId="1" applyFont="1" applyFill="1" applyBorder="1" applyAlignment="1">
      <alignment horizontal="center" vertical="center"/>
    </xf>
    <xf numFmtId="0" fontId="6" fillId="2" borderId="1" xfId="1" applyFont="1" applyFill="1" applyBorder="1" applyAlignment="1">
      <alignment horizontal="left" vertical="center"/>
    </xf>
    <xf numFmtId="0" fontId="6" fillId="0" borderId="1" xfId="1" applyFont="1" applyBorder="1" applyAlignment="1">
      <alignment horizontal="left" vertical="center"/>
    </xf>
    <xf numFmtId="0" fontId="7" fillId="3" borderId="1" xfId="1" applyFont="1" applyFill="1" applyBorder="1" applyAlignment="1">
      <alignment horizontal="center" vertical="center"/>
    </xf>
    <xf numFmtId="0" fontId="6" fillId="0" borderId="1" xfId="1" applyFont="1" applyBorder="1" applyAlignment="1">
      <alignment vertical="center"/>
    </xf>
    <xf numFmtId="0" fontId="6" fillId="0" borderId="1" xfId="1" applyFont="1" applyBorder="1" applyAlignment="1">
      <alignment horizontal="center"/>
    </xf>
    <xf numFmtId="0" fontId="5" fillId="0" borderId="0" xfId="0" applyFont="1"/>
    <xf numFmtId="0" fontId="6" fillId="0" borderId="1" xfId="1" applyFont="1" applyBorder="1" applyAlignment="1">
      <alignment horizontal="center" vertical="center"/>
    </xf>
    <xf numFmtId="0" fontId="5" fillId="0" borderId="1" xfId="0" applyFont="1" applyBorder="1" applyAlignment="1">
      <alignment horizontal="center"/>
    </xf>
    <xf numFmtId="0" fontId="6" fillId="0" borderId="1" xfId="1" applyFont="1" applyBorder="1"/>
    <xf numFmtId="0" fontId="6" fillId="2" borderId="1" xfId="1" applyFont="1" applyFill="1" applyBorder="1"/>
    <xf numFmtId="0" fontId="5" fillId="0" borderId="1" xfId="0" applyFont="1" applyBorder="1"/>
    <xf numFmtId="0" fontId="4" fillId="0" borderId="0" xfId="37" applyFont="1"/>
    <xf numFmtId="44" fontId="4" fillId="0" borderId="1" xfId="38" applyFont="1" applyBorder="1"/>
    <xf numFmtId="9" fontId="4" fillId="0" borderId="1" xfId="39" applyFont="1" applyBorder="1"/>
    <xf numFmtId="0" fontId="8" fillId="0" borderId="0" xfId="37"/>
    <xf numFmtId="0" fontId="9" fillId="6" borderId="1" xfId="37" applyFont="1" applyFill="1" applyBorder="1" applyAlignment="1">
      <alignment horizontal="center"/>
    </xf>
    <xf numFmtId="9" fontId="9" fillId="6" borderId="1" xfId="37" applyNumberFormat="1" applyFont="1" applyFill="1" applyBorder="1"/>
    <xf numFmtId="0" fontId="10" fillId="0" borderId="0" xfId="0" applyFont="1"/>
    <xf numFmtId="0" fontId="10" fillId="0" borderId="0" xfId="0" applyFont="1" applyAlignment="1">
      <alignment wrapText="1"/>
    </xf>
    <xf numFmtId="0" fontId="10" fillId="0" borderId="1" xfId="0" applyFont="1" applyBorder="1" applyAlignment="1">
      <alignment horizontal="center" wrapText="1"/>
    </xf>
    <xf numFmtId="0" fontId="11" fillId="0" borderId="1" xfId="1" applyFont="1" applyBorder="1" applyAlignment="1">
      <alignment horizontal="center"/>
    </xf>
    <xf numFmtId="43" fontId="11" fillId="0" borderId="1" xfId="34" applyFont="1" applyBorder="1" applyAlignment="1">
      <alignment horizontal="center"/>
    </xf>
    <xf numFmtId="165" fontId="14" fillId="0" borderId="0" xfId="0" applyNumberFormat="1" applyFont="1" applyAlignment="1">
      <alignment horizontal="left"/>
    </xf>
    <xf numFmtId="0" fontId="0" fillId="0" borderId="0" xfId="0" applyAlignment="1">
      <alignment horizontal="center"/>
    </xf>
    <xf numFmtId="0" fontId="14" fillId="0" borderId="0" xfId="0" applyFont="1"/>
    <xf numFmtId="44" fontId="15" fillId="0" borderId="0" xfId="33" applyFont="1"/>
    <xf numFmtId="0" fontId="15" fillId="0" borderId="0" xfId="0" applyFont="1"/>
    <xf numFmtId="0" fontId="16" fillId="0" borderId="0" xfId="0" applyFont="1"/>
    <xf numFmtId="44" fontId="16" fillId="0" borderId="0" xfId="33" applyFont="1"/>
    <xf numFmtId="9" fontId="16" fillId="0" borderId="0" xfId="0" applyNumberFormat="1" applyFont="1"/>
    <xf numFmtId="44" fontId="0" fillId="0" borderId="0" xfId="33" applyFont="1"/>
    <xf numFmtId="0" fontId="18" fillId="0" borderId="0" xfId="0" applyFont="1"/>
    <xf numFmtId="0" fontId="19" fillId="0" borderId="0" xfId="0" applyFont="1" applyAlignment="1">
      <alignment vertical="center" wrapText="1"/>
    </xf>
    <xf numFmtId="44" fontId="20" fillId="0" borderId="0" xfId="33" applyFont="1"/>
    <xf numFmtId="0" fontId="20" fillId="0" borderId="0" xfId="0" applyFont="1"/>
    <xf numFmtId="0" fontId="16" fillId="0" borderId="1" xfId="0" applyFont="1" applyBorder="1"/>
    <xf numFmtId="44" fontId="16" fillId="0" borderId="1" xfId="33" applyFont="1" applyBorder="1"/>
    <xf numFmtId="43" fontId="16" fillId="0" borderId="1" xfId="34" applyFont="1" applyBorder="1"/>
    <xf numFmtId="44" fontId="16" fillId="0" borderId="1" xfId="0" applyNumberFormat="1" applyFont="1" applyBorder="1"/>
    <xf numFmtId="0" fontId="16" fillId="0" borderId="1" xfId="0" applyFont="1" applyBorder="1" applyAlignment="1">
      <alignment horizontal="center"/>
    </xf>
    <xf numFmtId="0" fontId="22" fillId="6" borderId="1" xfId="1" applyFont="1" applyFill="1" applyBorder="1" applyAlignment="1">
      <alignment horizontal="center" vertical="center" wrapText="1"/>
    </xf>
    <xf numFmtId="0" fontId="22" fillId="2" borderId="2" xfId="1" applyFont="1" applyFill="1" applyBorder="1" applyAlignment="1">
      <alignment horizontal="left" vertical="center"/>
    </xf>
    <xf numFmtId="0" fontId="2" fillId="2" borderId="4" xfId="1" applyFill="1" applyBorder="1" applyAlignment="1">
      <alignment horizontal="center" vertical="center"/>
    </xf>
    <xf numFmtId="44" fontId="2" fillId="2" borderId="1" xfId="6" applyFont="1" applyFill="1" applyBorder="1" applyAlignment="1">
      <alignment horizontal="center" vertical="center"/>
    </xf>
    <xf numFmtId="44" fontId="22" fillId="2" borderId="1" xfId="33" applyFont="1" applyFill="1" applyBorder="1" applyAlignment="1">
      <alignment horizontal="center" wrapText="1"/>
    </xf>
    <xf numFmtId="43" fontId="2" fillId="0" borderId="1" xfId="34" applyFont="1" applyFill="1" applyBorder="1"/>
    <xf numFmtId="0" fontId="2" fillId="2" borderId="1" xfId="1" applyFill="1" applyBorder="1" applyAlignment="1">
      <alignment horizontal="center" vertical="center"/>
    </xf>
    <xf numFmtId="0" fontId="22" fillId="6" borderId="6" xfId="1" applyFont="1" applyFill="1" applyBorder="1" applyAlignment="1">
      <alignment horizontal="center" vertical="center" wrapText="1"/>
    </xf>
    <xf numFmtId="0" fontId="13" fillId="0" borderId="0" xfId="0" applyFont="1"/>
    <xf numFmtId="43" fontId="0" fillId="4" borderId="1" xfId="34" applyFont="1" applyFill="1" applyBorder="1"/>
    <xf numFmtId="0" fontId="21" fillId="0" borderId="0" xfId="0" applyFont="1"/>
    <xf numFmtId="0" fontId="0" fillId="0" borderId="4" xfId="0" applyBorder="1" applyAlignment="1">
      <alignment horizontal="center" wrapText="1"/>
    </xf>
    <xf numFmtId="0" fontId="2" fillId="2" borderId="1" xfId="1" applyFill="1" applyBorder="1" applyAlignment="1">
      <alignment horizontal="center"/>
    </xf>
    <xf numFmtId="0" fontId="0" fillId="0" borderId="0" xfId="0" applyAlignment="1">
      <alignment vertical="top" wrapText="1"/>
    </xf>
    <xf numFmtId="44" fontId="0" fillId="0" borderId="0" xfId="0" applyNumberFormat="1"/>
    <xf numFmtId="0" fontId="0" fillId="0" borderId="1" xfId="0" applyBorder="1"/>
    <xf numFmtId="0" fontId="22" fillId="8" borderId="1" xfId="1" applyFont="1" applyFill="1" applyBorder="1" applyAlignment="1">
      <alignment horizontal="center" vertical="center" wrapText="1"/>
    </xf>
    <xf numFmtId="0" fontId="0" fillId="8" borderId="1" xfId="0" applyFill="1" applyBorder="1" applyAlignment="1">
      <alignment horizontal="center" vertical="center"/>
    </xf>
    <xf numFmtId="0" fontId="0" fillId="8" borderId="2" xfId="0" applyFill="1" applyBorder="1" applyAlignment="1">
      <alignment horizontal="center" vertical="center"/>
    </xf>
    <xf numFmtId="164" fontId="0" fillId="8" borderId="1" xfId="34" applyNumberFormat="1" applyFont="1" applyFill="1" applyBorder="1" applyAlignment="1">
      <alignment horizontal="center" vertical="center"/>
    </xf>
    <xf numFmtId="44" fontId="5" fillId="0" borderId="1" xfId="33" applyFont="1" applyBorder="1" applyAlignment="1"/>
    <xf numFmtId="0" fontId="6" fillId="10" borderId="1" xfId="1" applyFont="1" applyFill="1" applyBorder="1" applyAlignment="1">
      <alignment horizontal="center" vertical="center"/>
    </xf>
    <xf numFmtId="0" fontId="6" fillId="10" borderId="1" xfId="1" applyFont="1" applyFill="1" applyBorder="1" applyAlignment="1">
      <alignment horizontal="left" vertical="center"/>
    </xf>
    <xf numFmtId="0" fontId="6" fillId="11" borderId="1" xfId="1" applyFont="1" applyFill="1" applyBorder="1" applyAlignment="1">
      <alignment horizontal="center" vertical="center"/>
    </xf>
    <xf numFmtId="0" fontId="6" fillId="11" borderId="1" xfId="1" applyFont="1" applyFill="1" applyBorder="1" applyAlignment="1">
      <alignment horizontal="left" vertical="center"/>
    </xf>
    <xf numFmtId="43" fontId="4" fillId="11" borderId="1" xfId="34" applyFont="1" applyFill="1" applyBorder="1"/>
    <xf numFmtId="0" fontId="6" fillId="12" borderId="1" xfId="1" applyFont="1" applyFill="1" applyBorder="1" applyAlignment="1">
      <alignment horizontal="center" vertical="center"/>
    </xf>
    <xf numFmtId="0" fontId="6" fillId="12" borderId="1" xfId="1" applyFont="1" applyFill="1" applyBorder="1" applyAlignment="1">
      <alignment horizontal="left" vertical="center"/>
    </xf>
    <xf numFmtId="43" fontId="4" fillId="12" borderId="1" xfId="34" applyFont="1" applyFill="1" applyBorder="1"/>
    <xf numFmtId="0" fontId="6" fillId="13" borderId="1" xfId="1" applyFont="1" applyFill="1" applyBorder="1" applyAlignment="1">
      <alignment horizontal="center" vertical="center"/>
    </xf>
    <xf numFmtId="0" fontId="6" fillId="13" borderId="1" xfId="1" applyFont="1" applyFill="1" applyBorder="1" applyAlignment="1">
      <alignment horizontal="left" vertical="center"/>
    </xf>
    <xf numFmtId="43" fontId="4" fillId="13" borderId="1" xfId="34" applyFont="1" applyFill="1" applyBorder="1"/>
    <xf numFmtId="0" fontId="6" fillId="14" borderId="1" xfId="1" applyFont="1" applyFill="1" applyBorder="1" applyAlignment="1">
      <alignment horizontal="center" vertical="center"/>
    </xf>
    <xf numFmtId="0" fontId="6" fillId="14" borderId="1" xfId="1" applyFont="1" applyFill="1" applyBorder="1" applyAlignment="1">
      <alignment horizontal="left" vertical="center"/>
    </xf>
    <xf numFmtId="43" fontId="4" fillId="14" borderId="1" xfId="34" applyFont="1" applyFill="1" applyBorder="1"/>
    <xf numFmtId="0" fontId="6" fillId="9" borderId="1" xfId="1" applyFont="1" applyFill="1" applyBorder="1" applyAlignment="1">
      <alignment horizontal="center" vertical="center"/>
    </xf>
    <xf numFmtId="0" fontId="6" fillId="9" borderId="1" xfId="1" applyFont="1" applyFill="1" applyBorder="1" applyAlignment="1">
      <alignment horizontal="left" vertical="center"/>
    </xf>
    <xf numFmtId="43" fontId="4" fillId="9" borderId="1" xfId="34" applyFont="1" applyFill="1" applyBorder="1"/>
    <xf numFmtId="0" fontId="6" fillId="15" borderId="1" xfId="1" applyFont="1" applyFill="1" applyBorder="1" applyAlignment="1">
      <alignment horizontal="center" vertical="center"/>
    </xf>
    <xf numFmtId="0" fontId="6" fillId="15" borderId="1" xfId="1" applyFont="1" applyFill="1" applyBorder="1" applyAlignment="1">
      <alignment horizontal="left" vertical="center"/>
    </xf>
    <xf numFmtId="43" fontId="4" fillId="15" borderId="1" xfId="34" applyFont="1" applyFill="1" applyBorder="1"/>
    <xf numFmtId="0" fontId="4" fillId="15" borderId="1" xfId="37" applyFont="1" applyFill="1" applyBorder="1" applyAlignment="1">
      <alignment horizontal="center" vertical="center"/>
    </xf>
    <xf numFmtId="0" fontId="13" fillId="8" borderId="1" xfId="0" applyFont="1" applyFill="1" applyBorder="1" applyAlignment="1">
      <alignment horizontal="center" vertical="center"/>
    </xf>
    <xf numFmtId="43" fontId="0" fillId="0" borderId="1" xfId="34" applyFont="1" applyBorder="1"/>
    <xf numFmtId="0" fontId="0" fillId="0" borderId="1" xfId="0" applyBorder="1" applyAlignment="1">
      <alignment horizontal="center"/>
    </xf>
    <xf numFmtId="0" fontId="13" fillId="0" borderId="1" xfId="0" applyFont="1" applyBorder="1" applyAlignment="1">
      <alignment horizontal="center" vertical="center"/>
    </xf>
    <xf numFmtId="43" fontId="13" fillId="0" borderId="1" xfId="34" applyFont="1" applyFill="1" applyBorder="1" applyAlignment="1">
      <alignment horizontal="center" vertical="center"/>
    </xf>
    <xf numFmtId="44" fontId="13" fillId="0" borderId="1" xfId="33" applyFont="1" applyFill="1" applyBorder="1" applyAlignment="1">
      <alignment horizontal="center" vertical="center"/>
    </xf>
    <xf numFmtId="0" fontId="6" fillId="0" borderId="1" xfId="0" applyFont="1" applyBorder="1" applyAlignment="1">
      <alignment horizontal="center"/>
    </xf>
    <xf numFmtId="0" fontId="9" fillId="0" borderId="0" xfId="37" applyFont="1"/>
    <xf numFmtId="43" fontId="2" fillId="2" borderId="1" xfId="34" applyFont="1" applyFill="1" applyBorder="1" applyAlignment="1">
      <alignment horizontal="center" vertical="center"/>
    </xf>
    <xf numFmtId="43" fontId="0" fillId="0" borderId="1" xfId="0" applyNumberFormat="1" applyBorder="1"/>
    <xf numFmtId="0" fontId="29" fillId="0" borderId="0" xfId="0" applyFont="1"/>
    <xf numFmtId="0" fontId="13" fillId="4" borderId="2" xfId="0" applyFont="1" applyFill="1" applyBorder="1" applyAlignment="1" applyProtection="1">
      <alignment horizontal="center" vertical="center"/>
      <protection locked="0"/>
    </xf>
    <xf numFmtId="43" fontId="13" fillId="4" borderId="2" xfId="34" applyFont="1" applyFill="1" applyBorder="1" applyAlignment="1" applyProtection="1">
      <alignment horizontal="center" vertical="center"/>
      <protection locked="0"/>
    </xf>
    <xf numFmtId="43" fontId="13" fillId="4" borderId="1" xfId="34" applyFont="1" applyFill="1" applyBorder="1" applyAlignment="1" applyProtection="1">
      <alignment horizontal="center" vertical="center"/>
      <protection locked="0"/>
    </xf>
    <xf numFmtId="0" fontId="13" fillId="0" borderId="2" xfId="0" applyFont="1" applyBorder="1" applyAlignment="1">
      <alignment horizontal="center" vertical="center"/>
    </xf>
    <xf numFmtId="43" fontId="11" fillId="17" borderId="1" xfId="34" applyFont="1" applyFill="1" applyBorder="1" applyAlignment="1">
      <alignment horizontal="center"/>
    </xf>
    <xf numFmtId="0" fontId="11" fillId="0" borderId="1" xfId="1" applyFont="1" applyBorder="1" applyAlignment="1">
      <alignment horizontal="left"/>
    </xf>
    <xf numFmtId="0" fontId="32" fillId="16" borderId="1" xfId="0" applyFont="1" applyFill="1" applyBorder="1" applyAlignment="1">
      <alignment horizontal="center"/>
    </xf>
    <xf numFmtId="0" fontId="32" fillId="16" borderId="1" xfId="0" applyFont="1" applyFill="1" applyBorder="1" applyAlignment="1">
      <alignment horizontal="center" wrapText="1"/>
    </xf>
    <xf numFmtId="0" fontId="32" fillId="16" borderId="1" xfId="0" applyFont="1" applyFill="1" applyBorder="1" applyAlignment="1">
      <alignment wrapText="1"/>
    </xf>
    <xf numFmtId="44" fontId="4" fillId="0" borderId="0" xfId="33" applyFont="1"/>
    <xf numFmtId="0" fontId="23" fillId="0" borderId="1" xfId="0" applyFont="1" applyBorder="1" applyAlignment="1">
      <alignment horizontal="center" vertical="center"/>
    </xf>
    <xf numFmtId="0" fontId="0" fillId="18" borderId="0" xfId="0" applyFill="1"/>
    <xf numFmtId="44" fontId="29" fillId="18" borderId="1" xfId="1" applyNumberFormat="1" applyFont="1" applyFill="1" applyBorder="1"/>
    <xf numFmtId="0" fontId="30" fillId="18" borderId="1" xfId="1" applyFont="1" applyFill="1" applyBorder="1"/>
    <xf numFmtId="44" fontId="10" fillId="0" borderId="1" xfId="33" applyFont="1" applyFill="1" applyBorder="1"/>
    <xf numFmtId="166" fontId="0" fillId="0" borderId="1" xfId="34" applyNumberFormat="1" applyFont="1" applyFill="1" applyBorder="1"/>
    <xf numFmtId="43" fontId="2" fillId="0" borderId="0" xfId="34" applyFont="1" applyFill="1" applyBorder="1"/>
    <xf numFmtId="43" fontId="22" fillId="4" borderId="1" xfId="34" applyFont="1" applyFill="1" applyBorder="1" applyAlignment="1">
      <alignment horizontal="center" vertical="center"/>
    </xf>
    <xf numFmtId="43" fontId="10" fillId="17" borderId="1" xfId="34" applyFont="1" applyFill="1" applyBorder="1" applyAlignment="1">
      <alignment horizontal="center"/>
    </xf>
    <xf numFmtId="0" fontId="2" fillId="19" borderId="1" xfId="1" applyFill="1" applyBorder="1" applyAlignment="1">
      <alignment horizontal="center" vertical="center"/>
    </xf>
    <xf numFmtId="0" fontId="10" fillId="0" borderId="1" xfId="0" applyFont="1" applyBorder="1"/>
    <xf numFmtId="44" fontId="5" fillId="0" borderId="0" xfId="33" applyFont="1" applyAlignment="1"/>
    <xf numFmtId="44" fontId="5" fillId="0" borderId="0" xfId="0" applyNumberFormat="1" applyFont="1"/>
    <xf numFmtId="44" fontId="5" fillId="0" borderId="1" xfId="33" applyFont="1" applyFill="1" applyBorder="1" applyAlignment="1"/>
    <xf numFmtId="44" fontId="4" fillId="0" borderId="0" xfId="37" applyNumberFormat="1" applyFont="1"/>
    <xf numFmtId="9" fontId="4" fillId="0" borderId="0" xfId="35" applyFont="1"/>
    <xf numFmtId="43" fontId="11" fillId="4" borderId="1" xfId="34" applyFont="1" applyFill="1" applyBorder="1" applyAlignment="1">
      <alignment horizontal="center"/>
    </xf>
    <xf numFmtId="0" fontId="6" fillId="20" borderId="1" xfId="1" applyFont="1" applyFill="1" applyBorder="1" applyAlignment="1">
      <alignment horizontal="center" vertical="center"/>
    </xf>
    <xf numFmtId="0" fontId="6" fillId="20" borderId="1" xfId="1" applyFont="1" applyFill="1" applyBorder="1" applyAlignment="1">
      <alignment horizontal="left" vertical="center"/>
    </xf>
    <xf numFmtId="43" fontId="4" fillId="20" borderId="1" xfId="34" applyFont="1" applyFill="1" applyBorder="1"/>
    <xf numFmtId="0" fontId="4" fillId="20" borderId="1" xfId="37" applyFont="1" applyFill="1" applyBorder="1" applyAlignment="1">
      <alignment horizontal="center" vertical="center"/>
    </xf>
    <xf numFmtId="0" fontId="11" fillId="2" borderId="1" xfId="1" applyFont="1" applyFill="1" applyBorder="1" applyAlignment="1">
      <alignment horizontal="center" vertical="center"/>
    </xf>
    <xf numFmtId="0" fontId="11" fillId="0" borderId="1" xfId="1" applyFont="1" applyBorder="1" applyAlignment="1">
      <alignment horizontal="center" vertical="center"/>
    </xf>
    <xf numFmtId="0" fontId="5" fillId="0" borderId="0" xfId="0" applyFont="1" applyAlignment="1">
      <alignment horizontal="center"/>
    </xf>
    <xf numFmtId="0" fontId="31" fillId="21" borderId="1" xfId="0" applyFont="1" applyFill="1" applyBorder="1" applyAlignment="1">
      <alignment horizontal="center" vertical="center" wrapText="1"/>
    </xf>
    <xf numFmtId="0" fontId="31" fillId="22" borderId="1" xfId="0" applyFont="1" applyFill="1" applyBorder="1" applyAlignment="1">
      <alignment horizontal="center" vertical="center" wrapText="1"/>
    </xf>
    <xf numFmtId="0" fontId="31" fillId="23" borderId="1" xfId="0" applyFont="1" applyFill="1" applyBorder="1" applyAlignment="1">
      <alignment horizontal="center" vertical="center" wrapText="1"/>
    </xf>
    <xf numFmtId="0" fontId="13" fillId="2" borderId="1" xfId="0" applyFont="1" applyFill="1" applyBorder="1" applyAlignment="1">
      <alignment horizontal="center" vertical="center"/>
    </xf>
    <xf numFmtId="9" fontId="13" fillId="2" borderId="1" xfId="35" applyFont="1" applyFill="1" applyBorder="1" applyAlignment="1">
      <alignment horizontal="center"/>
    </xf>
    <xf numFmtId="0" fontId="13" fillId="17" borderId="1" xfId="0" applyFont="1" applyFill="1" applyBorder="1" applyAlignment="1">
      <alignment horizontal="center" vertical="center"/>
    </xf>
    <xf numFmtId="9" fontId="13" fillId="17" borderId="1" xfId="35" applyFont="1" applyFill="1" applyBorder="1" applyAlignment="1">
      <alignment horizontal="center"/>
    </xf>
    <xf numFmtId="0" fontId="29" fillId="18" borderId="1" xfId="1" applyFont="1" applyFill="1" applyBorder="1" applyAlignment="1">
      <alignment horizontal="center" vertical="center"/>
    </xf>
    <xf numFmtId="0" fontId="29" fillId="18" borderId="1" xfId="1" applyFont="1" applyFill="1" applyBorder="1" applyAlignment="1">
      <alignment horizontal="center" vertical="center" wrapText="1"/>
    </xf>
    <xf numFmtId="0" fontId="29" fillId="22" borderId="1" xfId="1" applyFont="1" applyFill="1" applyBorder="1" applyAlignment="1">
      <alignment horizontal="center" vertical="center"/>
    </xf>
    <xf numFmtId="0" fontId="29" fillId="22" borderId="1" xfId="1" applyFont="1" applyFill="1" applyBorder="1" applyAlignment="1">
      <alignment horizontal="center" vertical="center" wrapText="1"/>
    </xf>
    <xf numFmtId="0" fontId="30" fillId="22" borderId="7" xfId="0" applyFont="1" applyFill="1" applyBorder="1" applyAlignment="1">
      <alignment horizontal="left"/>
    </xf>
    <xf numFmtId="44" fontId="29" fillId="22" borderId="1" xfId="1" applyNumberFormat="1" applyFont="1" applyFill="1" applyBorder="1"/>
    <xf numFmtId="0" fontId="37" fillId="18" borderId="1" xfId="0" applyFont="1" applyFill="1" applyBorder="1" applyAlignment="1">
      <alignment horizontal="center" vertical="center" wrapText="1"/>
    </xf>
    <xf numFmtId="44" fontId="37" fillId="18" borderId="1" xfId="33" applyFont="1" applyFill="1" applyBorder="1" applyAlignment="1">
      <alignment horizontal="center" vertical="center" wrapText="1"/>
    </xf>
    <xf numFmtId="0" fontId="38" fillId="0" borderId="11" xfId="0" applyFont="1" applyBorder="1" applyAlignment="1">
      <alignment horizontal="center"/>
    </xf>
    <xf numFmtId="0" fontId="39" fillId="0" borderId="11" xfId="0" applyFont="1" applyBorder="1" applyAlignment="1">
      <alignment horizontal="center" vertical="center"/>
    </xf>
    <xf numFmtId="0" fontId="40" fillId="0" borderId="11" xfId="0" applyFont="1" applyBorder="1" applyAlignment="1">
      <alignment horizontal="center" vertical="center"/>
    </xf>
    <xf numFmtId="0" fontId="13" fillId="2" borderId="2" xfId="0" applyFont="1" applyFill="1" applyBorder="1" applyAlignment="1" applyProtection="1">
      <alignment horizontal="center" vertical="center"/>
      <protection locked="0"/>
    </xf>
    <xf numFmtId="0" fontId="0" fillId="0" borderId="11" xfId="0" applyBorder="1" applyAlignment="1">
      <alignment horizontal="center"/>
    </xf>
    <xf numFmtId="44" fontId="5" fillId="4" borderId="1" xfId="33" applyFont="1" applyFill="1" applyBorder="1" applyAlignment="1"/>
    <xf numFmtId="0" fontId="5" fillId="24" borderId="1" xfId="0" applyFont="1" applyFill="1" applyBorder="1" applyAlignment="1">
      <alignment horizontal="center"/>
    </xf>
    <xf numFmtId="0" fontId="6" fillId="24" borderId="1" xfId="1" applyFont="1" applyFill="1" applyBorder="1"/>
    <xf numFmtId="0" fontId="6" fillId="24" borderId="1" xfId="1" applyFont="1" applyFill="1" applyBorder="1" applyAlignment="1">
      <alignment horizontal="center"/>
    </xf>
    <xf numFmtId="44" fontId="6" fillId="24" borderId="1" xfId="33" applyFont="1" applyFill="1" applyBorder="1" applyAlignment="1"/>
    <xf numFmtId="0" fontId="5" fillId="24" borderId="0" xfId="0" applyFont="1" applyFill="1"/>
    <xf numFmtId="44" fontId="37" fillId="21" borderId="2" xfId="33" applyFont="1" applyFill="1" applyBorder="1" applyAlignment="1">
      <alignment vertical="center" wrapText="1"/>
    </xf>
    <xf numFmtId="2" fontId="0" fillId="0" borderId="0" xfId="0" applyNumberFormat="1"/>
    <xf numFmtId="9" fontId="9" fillId="6" borderId="6" xfId="37" applyNumberFormat="1" applyFont="1" applyFill="1" applyBorder="1"/>
    <xf numFmtId="44" fontId="5" fillId="24" borderId="1" xfId="33" applyFont="1" applyFill="1" applyBorder="1" applyAlignment="1"/>
    <xf numFmtId="0" fontId="6" fillId="2" borderId="5" xfId="1" applyFont="1" applyFill="1" applyBorder="1" applyAlignment="1">
      <alignment horizontal="center" vertical="center"/>
    </xf>
    <xf numFmtId="0" fontId="6" fillId="2" borderId="5" xfId="1" applyFont="1" applyFill="1" applyBorder="1" applyAlignment="1">
      <alignment horizontal="left" vertical="center"/>
    </xf>
    <xf numFmtId="44" fontId="5" fillId="0" borderId="5" xfId="0" applyNumberFormat="1" applyFont="1" applyBorder="1"/>
    <xf numFmtId="44" fontId="28" fillId="0" borderId="5" xfId="33" applyFont="1" applyBorder="1" applyAlignment="1"/>
    <xf numFmtId="44" fontId="28" fillId="0" borderId="0" xfId="0" applyNumberFormat="1" applyFont="1"/>
    <xf numFmtId="0" fontId="13" fillId="2" borderId="14" xfId="0" applyFont="1" applyFill="1" applyBorder="1" applyAlignment="1">
      <alignment horizontal="center" vertical="center"/>
    </xf>
    <xf numFmtId="0" fontId="6" fillId="25" borderId="1" xfId="1" applyFont="1" applyFill="1" applyBorder="1" applyAlignment="1">
      <alignment horizontal="center" vertical="center"/>
    </xf>
    <xf numFmtId="0" fontId="6" fillId="25" borderId="1" xfId="1" applyFont="1" applyFill="1" applyBorder="1" applyAlignment="1">
      <alignment horizontal="left" vertical="center"/>
    </xf>
    <xf numFmtId="43" fontId="4" fillId="25" borderId="1" xfId="34" applyFont="1" applyFill="1" applyBorder="1"/>
    <xf numFmtId="43" fontId="4" fillId="2" borderId="1" xfId="34" applyFont="1" applyFill="1" applyBorder="1"/>
    <xf numFmtId="0" fontId="4" fillId="2" borderId="1" xfId="37" applyFont="1" applyFill="1" applyBorder="1" applyAlignment="1">
      <alignment horizontal="center" vertical="center"/>
    </xf>
    <xf numFmtId="43" fontId="4" fillId="0" borderId="1" xfId="37" applyNumberFormat="1" applyFont="1" applyBorder="1"/>
    <xf numFmtId="44" fontId="14" fillId="2" borderId="0" xfId="33" applyFont="1" applyFill="1" applyBorder="1" applyAlignment="1">
      <alignment horizontal="right" vertical="center"/>
    </xf>
    <xf numFmtId="9" fontId="14" fillId="2" borderId="0" xfId="35" applyFont="1" applyFill="1" applyBorder="1" applyAlignment="1">
      <alignment horizontal="center" vertical="center"/>
    </xf>
    <xf numFmtId="9" fontId="40" fillId="0" borderId="0" xfId="0" applyNumberFormat="1" applyFont="1" applyAlignment="1">
      <alignment horizontal="center" vertical="center"/>
    </xf>
    <xf numFmtId="167" fontId="0" fillId="0" borderId="0" xfId="0" applyNumberFormat="1"/>
    <xf numFmtId="168" fontId="0" fillId="0" borderId="0" xfId="0" applyNumberFormat="1"/>
    <xf numFmtId="44" fontId="39" fillId="0" borderId="0" xfId="33" applyFont="1" applyFill="1" applyBorder="1" applyAlignment="1">
      <alignment vertical="center"/>
    </xf>
    <xf numFmtId="9" fontId="39" fillId="0" borderId="0" xfId="33" applyNumberFormat="1" applyFont="1" applyFill="1" applyBorder="1" applyAlignment="1">
      <alignment vertical="center"/>
    </xf>
    <xf numFmtId="0" fontId="9" fillId="6" borderId="2" xfId="37" applyFont="1" applyFill="1" applyBorder="1" applyAlignment="1">
      <alignment horizontal="center"/>
    </xf>
    <xf numFmtId="0" fontId="9" fillId="6" borderId="3" xfId="37" applyFont="1" applyFill="1" applyBorder="1" applyAlignment="1">
      <alignment horizontal="center"/>
    </xf>
    <xf numFmtId="0" fontId="9" fillId="6" borderId="9" xfId="37" applyFont="1" applyFill="1" applyBorder="1" applyAlignment="1">
      <alignment horizontal="center"/>
    </xf>
    <xf numFmtId="0" fontId="9" fillId="6" borderId="13" xfId="37" applyFont="1" applyFill="1" applyBorder="1" applyAlignment="1">
      <alignment horizontal="center"/>
    </xf>
    <xf numFmtId="43" fontId="2" fillId="9" borderId="0" xfId="34" applyFont="1" applyFill="1" applyBorder="1" applyAlignment="1">
      <alignment horizontal="center" vertical="center"/>
    </xf>
    <xf numFmtId="0" fontId="17" fillId="0" borderId="0" xfId="0" applyFont="1" applyAlignment="1">
      <alignment vertical="center" wrapText="1"/>
    </xf>
    <xf numFmtId="44" fontId="14" fillId="3" borderId="0" xfId="33" applyFont="1" applyFill="1"/>
    <xf numFmtId="0" fontId="15" fillId="3" borderId="0" xfId="0" applyFont="1" applyFill="1"/>
    <xf numFmtId="44" fontId="12" fillId="3" borderId="0" xfId="33" applyFont="1" applyFill="1"/>
    <xf numFmtId="44" fontId="16" fillId="9" borderId="0" xfId="0" applyNumberFormat="1" applyFont="1" applyFill="1" applyAlignment="1">
      <alignment vertical="center"/>
    </xf>
    <xf numFmtId="9" fontId="14" fillId="9" borderId="0" xfId="35" applyFont="1" applyFill="1" applyAlignment="1">
      <alignment horizontal="center"/>
    </xf>
    <xf numFmtId="44" fontId="13" fillId="9" borderId="0" xfId="35" applyNumberFormat="1" applyFont="1" applyFill="1" applyAlignment="1">
      <alignment horizontal="center"/>
    </xf>
    <xf numFmtId="9" fontId="13" fillId="9" borderId="0" xfId="35" applyFont="1" applyFill="1" applyAlignment="1">
      <alignment horizontal="center"/>
    </xf>
    <xf numFmtId="169" fontId="11" fillId="0" borderId="1" xfId="34" applyNumberFormat="1" applyFont="1" applyBorder="1" applyAlignment="1">
      <alignment horizontal="center"/>
    </xf>
    <xf numFmtId="169" fontId="11" fillId="0" borderId="1" xfId="34" applyNumberFormat="1" applyFont="1" applyFill="1" applyBorder="1" applyAlignment="1">
      <alignment horizontal="center"/>
    </xf>
    <xf numFmtId="169" fontId="10" fillId="0" borderId="1" xfId="34" applyNumberFormat="1" applyFont="1" applyBorder="1" applyAlignment="1">
      <alignment horizontal="center"/>
    </xf>
    <xf numFmtId="169" fontId="11" fillId="2" borderId="1" xfId="34" applyNumberFormat="1" applyFont="1" applyFill="1" applyBorder="1" applyAlignment="1">
      <alignment horizontal="center"/>
    </xf>
    <xf numFmtId="0" fontId="23" fillId="0" borderId="1" xfId="0" applyFont="1" applyBorder="1" applyAlignment="1">
      <alignment horizontal="center" vertical="center"/>
    </xf>
    <xf numFmtId="0" fontId="29" fillId="18" borderId="4" xfId="1" applyFont="1" applyFill="1" applyBorder="1" applyAlignment="1">
      <alignment horizontal="center" vertical="center" wrapText="1"/>
    </xf>
    <xf numFmtId="0" fontId="29" fillId="18" borderId="6" xfId="1" applyFont="1" applyFill="1" applyBorder="1" applyAlignment="1">
      <alignment horizontal="center" vertical="center" wrapText="1"/>
    </xf>
    <xf numFmtId="0" fontId="36" fillId="18" borderId="11" xfId="0" applyFont="1" applyFill="1" applyBorder="1" applyAlignment="1">
      <alignment horizontal="center"/>
    </xf>
    <xf numFmtId="0" fontId="36" fillId="18" borderId="0" xfId="0" applyFont="1" applyFill="1" applyAlignment="1">
      <alignment horizontal="center"/>
    </xf>
    <xf numFmtId="0" fontId="29" fillId="18" borderId="1" xfId="1" applyFont="1" applyFill="1" applyBorder="1" applyAlignment="1">
      <alignment horizontal="center" vertical="center" wrapText="1"/>
    </xf>
    <xf numFmtId="0" fontId="0" fillId="0" borderId="0" xfId="0" applyAlignment="1">
      <alignment horizontal="center" vertical="top" wrapText="1"/>
    </xf>
    <xf numFmtId="0" fontId="29" fillId="18" borderId="8" xfId="1" applyFont="1" applyFill="1" applyBorder="1" applyAlignment="1">
      <alignment horizontal="center" vertical="center" wrapText="1"/>
    </xf>
    <xf numFmtId="0" fontId="29" fillId="18" borderId="9" xfId="1" applyFont="1" applyFill="1" applyBorder="1" applyAlignment="1">
      <alignment horizontal="center" vertical="center" wrapText="1"/>
    </xf>
    <xf numFmtId="0" fontId="23" fillId="0" borderId="1" xfId="0" applyFont="1" applyBorder="1" applyAlignment="1">
      <alignment horizontal="center" vertical="center" wrapText="1"/>
    </xf>
    <xf numFmtId="0" fontId="33" fillId="0" borderId="0" xfId="0" applyFont="1" applyAlignment="1">
      <alignment horizontal="center" vertical="center"/>
    </xf>
    <xf numFmtId="43" fontId="14" fillId="0" borderId="0" xfId="0" applyNumberFormat="1" applyFont="1" applyAlignment="1">
      <alignment horizontal="right" vertical="center"/>
    </xf>
    <xf numFmtId="0" fontId="14" fillId="0" borderId="0" xfId="0" applyFont="1" applyAlignment="1">
      <alignment horizontal="right" vertical="center"/>
    </xf>
    <xf numFmtId="0" fontId="0" fillId="0" borderId="0" xfId="0" applyAlignment="1">
      <alignment horizontal="left" vertical="top" wrapText="1"/>
    </xf>
    <xf numFmtId="9" fontId="39" fillId="0" borderId="0" xfId="35" applyFont="1" applyFill="1" applyBorder="1" applyAlignment="1">
      <alignment horizontal="center" vertical="center"/>
    </xf>
    <xf numFmtId="0" fontId="38" fillId="0" borderId="11" xfId="0" applyFont="1" applyBorder="1" applyAlignment="1">
      <alignment horizontal="center" vertical="center" wrapText="1"/>
    </xf>
    <xf numFmtId="0" fontId="38" fillId="0" borderId="11" xfId="0" applyFont="1" applyBorder="1" applyAlignment="1">
      <alignment horizontal="center" vertical="center"/>
    </xf>
    <xf numFmtId="9" fontId="38" fillId="0" borderId="0" xfId="35" applyFont="1" applyFill="1" applyBorder="1" applyAlignment="1">
      <alignment horizontal="center" vertical="center" wrapText="1"/>
    </xf>
    <xf numFmtId="0" fontId="22" fillId="23" borderId="2" xfId="1" applyFont="1" applyFill="1" applyBorder="1" applyAlignment="1">
      <alignment horizontal="center" vertical="center"/>
    </xf>
    <xf numFmtId="0" fontId="22" fillId="23" borderId="5" xfId="1" applyFont="1" applyFill="1" applyBorder="1" applyAlignment="1">
      <alignment horizontal="center" vertical="center"/>
    </xf>
    <xf numFmtId="0" fontId="22" fillId="23" borderId="3" xfId="1" applyFont="1" applyFill="1" applyBorder="1" applyAlignment="1">
      <alignment horizontal="center" vertical="center"/>
    </xf>
    <xf numFmtId="0" fontId="22" fillId="23" borderId="2" xfId="1" applyFont="1" applyFill="1" applyBorder="1" applyAlignment="1">
      <alignment horizontal="center" vertical="center" wrapText="1"/>
    </xf>
    <xf numFmtId="0" fontId="22" fillId="23" borderId="3" xfId="1" applyFont="1" applyFill="1" applyBorder="1" applyAlignment="1">
      <alignment horizontal="center" vertical="center" wrapText="1"/>
    </xf>
    <xf numFmtId="0" fontId="45" fillId="0" borderId="0" xfId="0" applyFont="1" applyAlignment="1">
      <alignment horizontal="center" vertical="center"/>
    </xf>
    <xf numFmtId="44" fontId="46" fillId="0" borderId="0" xfId="33" applyFont="1" applyFill="1" applyBorder="1" applyAlignment="1">
      <alignment horizontal="center" vertical="center"/>
    </xf>
    <xf numFmtId="44" fontId="46" fillId="0" borderId="12" xfId="33" applyFont="1" applyFill="1" applyBorder="1" applyAlignment="1">
      <alignment horizontal="center" vertical="center"/>
    </xf>
    <xf numFmtId="0" fontId="40" fillId="0" borderId="0" xfId="0" applyFont="1" applyAlignment="1">
      <alignment horizontal="center" vertical="center"/>
    </xf>
    <xf numFmtId="10" fontId="14" fillId="0" borderId="0" xfId="35" applyNumberFormat="1" applyFont="1" applyFill="1" applyBorder="1" applyAlignment="1">
      <alignment horizontal="right" vertical="center"/>
    </xf>
    <xf numFmtId="10" fontId="14" fillId="0" borderId="12" xfId="35" applyNumberFormat="1" applyFont="1" applyFill="1" applyBorder="1" applyAlignment="1">
      <alignment horizontal="right" vertical="center"/>
    </xf>
    <xf numFmtId="44" fontId="22" fillId="5" borderId="1" xfId="1" applyNumberFormat="1" applyFont="1" applyFill="1" applyBorder="1" applyAlignment="1">
      <alignment horizontal="center"/>
    </xf>
    <xf numFmtId="0" fontId="29" fillId="18" borderId="7" xfId="0" applyFont="1" applyFill="1" applyBorder="1" applyAlignment="1">
      <alignment horizontal="left"/>
    </xf>
    <xf numFmtId="0" fontId="29" fillId="22" borderId="7" xfId="0" applyFont="1" applyFill="1" applyBorder="1" applyAlignment="1">
      <alignment horizontal="left"/>
    </xf>
    <xf numFmtId="43" fontId="2" fillId="9" borderId="4" xfId="34" applyFont="1" applyFill="1" applyBorder="1" applyAlignment="1">
      <alignment horizontal="center" vertical="center"/>
    </xf>
    <xf numFmtId="43" fontId="2" fillId="9" borderId="14" xfId="34" applyFont="1" applyFill="1" applyBorder="1" applyAlignment="1">
      <alignment horizontal="center" vertical="center"/>
    </xf>
    <xf numFmtId="0" fontId="22" fillId="9" borderId="8" xfId="1" applyFont="1" applyFill="1" applyBorder="1" applyAlignment="1">
      <alignment horizontal="center" vertical="center" wrapText="1"/>
    </xf>
    <xf numFmtId="0" fontId="22" fillId="9" borderId="10" xfId="1" applyFont="1" applyFill="1" applyBorder="1" applyAlignment="1">
      <alignment horizontal="center" vertical="center" wrapText="1"/>
    </xf>
    <xf numFmtId="0" fontId="22" fillId="9" borderId="11" xfId="1" applyFont="1" applyFill="1" applyBorder="1" applyAlignment="1">
      <alignment horizontal="center" vertical="center" wrapText="1"/>
    </xf>
    <xf numFmtId="0" fontId="22" fillId="9" borderId="12" xfId="1" applyFont="1" applyFill="1" applyBorder="1" applyAlignment="1">
      <alignment horizontal="center" vertical="center" wrapText="1"/>
    </xf>
    <xf numFmtId="0" fontId="22" fillId="9" borderId="9" xfId="1" applyFont="1" applyFill="1" applyBorder="1" applyAlignment="1">
      <alignment horizontal="center" vertical="center" wrapText="1"/>
    </xf>
    <xf numFmtId="0" fontId="22" fillId="9" borderId="13" xfId="1" applyFont="1" applyFill="1" applyBorder="1" applyAlignment="1">
      <alignment horizontal="center" vertical="center" wrapText="1"/>
    </xf>
    <xf numFmtId="0" fontId="24" fillId="18" borderId="0" xfId="0" applyFont="1" applyFill="1" applyAlignment="1">
      <alignment horizontal="center"/>
    </xf>
    <xf numFmtId="0" fontId="24" fillId="2" borderId="0" xfId="0" applyFont="1" applyFill="1" applyAlignment="1">
      <alignment horizontal="center"/>
    </xf>
    <xf numFmtId="0" fontId="35" fillId="0" borderId="8" xfId="37" applyFont="1" applyBorder="1" applyAlignment="1">
      <alignment horizontal="center" vertical="center" wrapText="1"/>
    </xf>
    <xf numFmtId="0" fontId="35" fillId="0" borderId="15" xfId="37" applyFont="1" applyBorder="1" applyAlignment="1">
      <alignment horizontal="center" vertical="center" wrapText="1"/>
    </xf>
    <xf numFmtId="0" fontId="35" fillId="0" borderId="10" xfId="37" applyFont="1" applyBorder="1" applyAlignment="1">
      <alignment horizontal="center" vertical="center" wrapText="1"/>
    </xf>
    <xf numFmtId="44" fontId="22" fillId="0" borderId="0" xfId="0" applyNumberFormat="1" applyFont="1" applyAlignment="1">
      <alignment horizontal="center" vertical="center"/>
    </xf>
    <xf numFmtId="44" fontId="22" fillId="0" borderId="12" xfId="0" applyNumberFormat="1" applyFont="1" applyBorder="1" applyAlignment="1">
      <alignment horizontal="center" vertical="center"/>
    </xf>
    <xf numFmtId="44" fontId="25" fillId="0" borderId="0" xfId="0" applyNumberFormat="1" applyFont="1" applyAlignment="1">
      <alignment horizontal="center" vertical="center"/>
    </xf>
    <xf numFmtId="44" fontId="39" fillId="0" borderId="0" xfId="33" applyFont="1" applyFill="1" applyBorder="1" applyAlignment="1">
      <alignment horizontal="center" vertical="center"/>
    </xf>
    <xf numFmtId="44" fontId="39" fillId="0" borderId="12" xfId="33" applyFont="1" applyFill="1" applyBorder="1" applyAlignment="1">
      <alignment horizontal="center" vertical="center"/>
    </xf>
    <xf numFmtId="0" fontId="22" fillId="0" borderId="0" xfId="0" applyFont="1" applyAlignment="1">
      <alignment horizontal="center" vertical="center"/>
    </xf>
    <xf numFmtId="0" fontId="39" fillId="0" borderId="0" xfId="0" applyFont="1" applyAlignment="1">
      <alignment horizontal="center" vertical="center"/>
    </xf>
    <xf numFmtId="0" fontId="29" fillId="18" borderId="16" xfId="0" applyFont="1" applyFill="1" applyBorder="1" applyAlignment="1">
      <alignment horizontal="center" vertical="center" wrapText="1"/>
    </xf>
    <xf numFmtId="0" fontId="29" fillId="18" borderId="0" xfId="0" applyFont="1" applyFill="1" applyAlignment="1">
      <alignment horizontal="center" vertical="center" wrapText="1"/>
    </xf>
    <xf numFmtId="0" fontId="13" fillId="0" borderId="17" xfId="0" applyFont="1" applyBorder="1" applyAlignment="1">
      <alignment horizontal="center" vertical="center" wrapText="1"/>
    </xf>
    <xf numFmtId="0" fontId="13" fillId="0" borderId="18" xfId="0" applyFont="1" applyBorder="1" applyAlignment="1">
      <alignment horizontal="center" vertical="center" wrapText="1"/>
    </xf>
    <xf numFmtId="9" fontId="14" fillId="2" borderId="16" xfId="35" applyFont="1" applyFill="1" applyBorder="1" applyAlignment="1">
      <alignment horizontal="center" vertical="center"/>
    </xf>
    <xf numFmtId="9" fontId="14" fillId="2" borderId="0" xfId="35" applyFont="1" applyFill="1" applyBorder="1" applyAlignment="1">
      <alignment horizontal="center" vertical="center"/>
    </xf>
    <xf numFmtId="0" fontId="0" fillId="0" borderId="0" xfId="0" applyAlignment="1">
      <alignment horizontal="center"/>
    </xf>
    <xf numFmtId="0" fontId="37" fillId="18" borderId="0" xfId="0" applyFont="1" applyFill="1" applyAlignment="1">
      <alignment horizontal="center" vertical="center"/>
    </xf>
    <xf numFmtId="0" fontId="14" fillId="0" borderId="0" xfId="0" applyFont="1" applyAlignment="1">
      <alignment horizontal="center" vertical="center" wrapText="1"/>
    </xf>
    <xf numFmtId="0" fontId="37" fillId="18" borderId="0" xfId="0" applyFont="1" applyFill="1" applyAlignment="1">
      <alignment horizontal="center" vertical="center" wrapText="1"/>
    </xf>
    <xf numFmtId="44" fontId="40" fillId="2" borderId="0" xfId="33" applyFont="1" applyFill="1" applyBorder="1" applyAlignment="1">
      <alignment horizontal="center" vertical="center" wrapText="1"/>
    </xf>
    <xf numFmtId="9" fontId="23" fillId="2" borderId="0" xfId="35" applyFont="1" applyFill="1" applyBorder="1" applyAlignment="1">
      <alignment horizontal="center" vertical="center"/>
    </xf>
    <xf numFmtId="0" fontId="29" fillId="18" borderId="20" xfId="0" applyFont="1" applyFill="1" applyBorder="1" applyAlignment="1">
      <alignment horizontal="center" vertical="center" wrapText="1"/>
    </xf>
    <xf numFmtId="0" fontId="29" fillId="18" borderId="21" xfId="0" applyFont="1" applyFill="1" applyBorder="1" applyAlignment="1">
      <alignment horizontal="center" vertical="center" wrapText="1"/>
    </xf>
    <xf numFmtId="0" fontId="13" fillId="0" borderId="19" xfId="0" applyFont="1" applyBorder="1" applyAlignment="1">
      <alignment horizontal="center" vertical="center" wrapText="1"/>
    </xf>
    <xf numFmtId="0" fontId="13" fillId="0" borderId="1" xfId="0" applyFont="1" applyBorder="1" applyAlignment="1">
      <alignment horizontal="left"/>
    </xf>
    <xf numFmtId="0" fontId="22" fillId="8" borderId="2" xfId="1" applyFont="1" applyFill="1" applyBorder="1" applyAlignment="1">
      <alignment horizontal="center" wrapText="1"/>
    </xf>
    <xf numFmtId="0" fontId="22" fillId="8" borderId="3" xfId="1" applyFont="1" applyFill="1" applyBorder="1" applyAlignment="1">
      <alignment horizontal="center" wrapText="1"/>
    </xf>
    <xf numFmtId="0" fontId="23" fillId="7" borderId="2" xfId="0" applyFont="1" applyFill="1" applyBorder="1" applyAlignment="1">
      <alignment horizontal="left"/>
    </xf>
    <xf numFmtId="0" fontId="23" fillId="7" borderId="5" xfId="0" applyFont="1" applyFill="1" applyBorder="1" applyAlignment="1">
      <alignment horizontal="left"/>
    </xf>
    <xf numFmtId="0" fontId="23" fillId="7" borderId="3" xfId="0" applyFont="1" applyFill="1" applyBorder="1" applyAlignment="1">
      <alignment horizontal="left"/>
    </xf>
    <xf numFmtId="0" fontId="13" fillId="8" borderId="1" xfId="0" applyFont="1" applyFill="1" applyBorder="1" applyAlignment="1">
      <alignment horizontal="center" vertical="center"/>
    </xf>
    <xf numFmtId="0" fontId="22" fillId="8" borderId="4" xfId="1" applyFont="1" applyFill="1" applyBorder="1" applyAlignment="1">
      <alignment horizontal="center" vertical="center" wrapText="1"/>
    </xf>
    <xf numFmtId="0" fontId="22" fillId="8" borderId="6" xfId="1" applyFont="1" applyFill="1" applyBorder="1" applyAlignment="1">
      <alignment horizontal="center" vertical="center" wrapText="1"/>
    </xf>
    <xf numFmtId="0" fontId="44" fillId="0" borderId="0" xfId="0" applyFont="1" applyAlignment="1">
      <alignment horizontal="center" vertical="center"/>
    </xf>
    <xf numFmtId="0" fontId="37" fillId="21" borderId="2" xfId="0" applyFont="1" applyFill="1" applyBorder="1" applyAlignment="1">
      <alignment horizontal="center" vertical="center" wrapText="1"/>
    </xf>
    <xf numFmtId="0" fontId="37" fillId="21" borderId="5" xfId="0" applyFont="1" applyFill="1" applyBorder="1" applyAlignment="1">
      <alignment horizontal="center" vertical="center" wrapText="1"/>
    </xf>
    <xf numFmtId="0" fontId="37" fillId="21" borderId="3" xfId="0" applyFont="1" applyFill="1" applyBorder="1" applyAlignment="1">
      <alignment horizontal="center" vertical="center" wrapText="1"/>
    </xf>
    <xf numFmtId="44" fontId="16" fillId="9" borderId="0" xfId="33" applyFont="1" applyFill="1" applyAlignment="1">
      <alignment horizontal="left" vertical="center"/>
    </xf>
    <xf numFmtId="44" fontId="16" fillId="9" borderId="0" xfId="33" applyFont="1" applyFill="1" applyAlignment="1">
      <alignment horizontal="left"/>
    </xf>
    <xf numFmtId="44" fontId="1" fillId="9" borderId="0" xfId="33" applyFont="1" applyFill="1" applyAlignment="1">
      <alignment horizontal="left"/>
    </xf>
    <xf numFmtId="44" fontId="0" fillId="9" borderId="0" xfId="33" applyFont="1" applyFill="1" applyAlignment="1">
      <alignment horizontal="left"/>
    </xf>
    <xf numFmtId="44" fontId="24" fillId="3" borderId="0" xfId="33" applyFont="1" applyFill="1" applyAlignment="1">
      <alignment horizontal="center" vertical="center"/>
    </xf>
    <xf numFmtId="0" fontId="4" fillId="9" borderId="4" xfId="37" applyFont="1" applyFill="1" applyBorder="1" applyAlignment="1">
      <alignment horizontal="center" vertical="center"/>
    </xf>
    <xf numFmtId="0" fontId="4" fillId="9" borderId="14" xfId="37" applyFont="1" applyFill="1" applyBorder="1" applyAlignment="1">
      <alignment horizontal="center" vertical="center"/>
    </xf>
    <xf numFmtId="0" fontId="4" fillId="9" borderId="6" xfId="37" applyFont="1" applyFill="1" applyBorder="1" applyAlignment="1">
      <alignment horizontal="center" vertical="center"/>
    </xf>
    <xf numFmtId="0" fontId="4" fillId="25" borderId="4" xfId="37" applyFont="1" applyFill="1" applyBorder="1" applyAlignment="1">
      <alignment horizontal="center" vertical="center"/>
    </xf>
    <xf numFmtId="0" fontId="4" fillId="25" borderId="6" xfId="37" applyFont="1" applyFill="1" applyBorder="1" applyAlignment="1">
      <alignment horizontal="center" vertical="center"/>
    </xf>
    <xf numFmtId="0" fontId="9" fillId="6" borderId="2" xfId="37" applyFont="1" applyFill="1" applyBorder="1" applyAlignment="1">
      <alignment horizontal="center"/>
    </xf>
    <xf numFmtId="0" fontId="9" fillId="6" borderId="3" xfId="37" applyFont="1" applyFill="1" applyBorder="1" applyAlignment="1">
      <alignment horizontal="center"/>
    </xf>
    <xf numFmtId="0" fontId="4" fillId="11" borderId="4" xfId="37" applyFont="1" applyFill="1" applyBorder="1" applyAlignment="1">
      <alignment horizontal="center" vertical="center"/>
    </xf>
    <xf numFmtId="0" fontId="4" fillId="11" borderId="6" xfId="37" applyFont="1" applyFill="1" applyBorder="1" applyAlignment="1">
      <alignment horizontal="center" vertical="center"/>
    </xf>
    <xf numFmtId="0" fontId="4" fillId="12" borderId="4" xfId="37" applyFont="1" applyFill="1" applyBorder="1" applyAlignment="1">
      <alignment horizontal="center" vertical="center"/>
    </xf>
    <xf numFmtId="0" fontId="4" fillId="12" borderId="6" xfId="37" applyFont="1" applyFill="1" applyBorder="1" applyAlignment="1">
      <alignment horizontal="center" vertical="center"/>
    </xf>
    <xf numFmtId="0" fontId="4" fillId="13" borderId="4" xfId="37" applyFont="1" applyFill="1" applyBorder="1" applyAlignment="1">
      <alignment horizontal="center" vertical="center"/>
    </xf>
    <xf numFmtId="0" fontId="4" fillId="13" borderId="6" xfId="37" applyFont="1" applyFill="1" applyBorder="1" applyAlignment="1">
      <alignment horizontal="center" vertical="center"/>
    </xf>
    <xf numFmtId="0" fontId="4" fillId="14" borderId="4" xfId="37" applyFont="1" applyFill="1" applyBorder="1" applyAlignment="1">
      <alignment horizontal="center" vertical="center"/>
    </xf>
    <xf numFmtId="0" fontId="4" fillId="14" borderId="6" xfId="37" applyFont="1" applyFill="1" applyBorder="1" applyAlignment="1">
      <alignment horizontal="center" vertical="center"/>
    </xf>
    <xf numFmtId="0" fontId="28" fillId="0" borderId="1" xfId="0" applyFont="1" applyBorder="1" applyAlignment="1">
      <alignment horizontal="center"/>
    </xf>
    <xf numFmtId="0" fontId="10" fillId="0" borderId="0" xfId="0" applyFont="1" applyAlignment="1">
      <alignment horizontal="left"/>
    </xf>
    <xf numFmtId="0" fontId="31" fillId="23" borderId="2" xfId="37" applyFont="1" applyFill="1" applyBorder="1" applyAlignment="1">
      <alignment horizontal="center" vertical="center" wrapText="1"/>
    </xf>
    <xf numFmtId="0" fontId="31" fillId="23" borderId="3" xfId="37" applyFont="1" applyFill="1" applyBorder="1" applyAlignment="1">
      <alignment horizontal="center" vertical="center" wrapText="1"/>
    </xf>
    <xf numFmtId="0" fontId="31" fillId="21" borderId="11" xfId="37" applyFont="1" applyFill="1" applyBorder="1" applyAlignment="1">
      <alignment horizontal="center" vertical="center" wrapText="1"/>
    </xf>
    <xf numFmtId="0" fontId="31" fillId="21" borderId="0" xfId="37" applyFont="1" applyFill="1" applyAlignment="1">
      <alignment horizontal="center" vertical="center" wrapText="1"/>
    </xf>
    <xf numFmtId="0" fontId="29" fillId="18" borderId="11" xfId="0" applyFont="1" applyFill="1" applyBorder="1" applyAlignment="1">
      <alignment horizontal="center" vertical="center" wrapText="1"/>
    </xf>
    <xf numFmtId="9" fontId="13" fillId="2" borderId="10" xfId="35" applyFont="1" applyFill="1" applyBorder="1" applyAlignment="1">
      <alignment horizontal="center" vertical="center"/>
    </xf>
    <xf numFmtId="9" fontId="13" fillId="2" borderId="14" xfId="35" applyFont="1" applyFill="1" applyBorder="1" applyAlignment="1">
      <alignment horizontal="center" vertical="center"/>
    </xf>
    <xf numFmtId="9" fontId="13" fillId="2" borderId="6" xfId="35" applyFont="1" applyFill="1" applyBorder="1" applyAlignment="1">
      <alignment horizontal="center" vertical="center"/>
    </xf>
    <xf numFmtId="0" fontId="47" fillId="2" borderId="14" xfId="0" applyFont="1" applyFill="1" applyBorder="1" applyAlignment="1">
      <alignment horizontal="center" vertical="center" wrapText="1"/>
    </xf>
    <xf numFmtId="0" fontId="47" fillId="2" borderId="6" xfId="0" applyFont="1" applyFill="1" applyBorder="1" applyAlignment="1">
      <alignment horizontal="center" vertical="center" wrapText="1"/>
    </xf>
    <xf numFmtId="0" fontId="31" fillId="21" borderId="4" xfId="37" applyFont="1" applyFill="1" applyBorder="1" applyAlignment="1">
      <alignment horizontal="center" vertical="center" wrapText="1"/>
    </xf>
    <xf numFmtId="0" fontId="31" fillId="21" borderId="6" xfId="37" applyFont="1" applyFill="1" applyBorder="1" applyAlignment="1">
      <alignment horizontal="center" vertical="center" wrapText="1"/>
    </xf>
    <xf numFmtId="0" fontId="31" fillId="18" borderId="2" xfId="0" applyFont="1" applyFill="1" applyBorder="1" applyAlignment="1">
      <alignment horizontal="center" vertical="center" wrapText="1"/>
    </xf>
    <xf numFmtId="0" fontId="31" fillId="18" borderId="3" xfId="0" applyFont="1" applyFill="1" applyBorder="1" applyAlignment="1">
      <alignment horizontal="center" vertical="center" wrapText="1"/>
    </xf>
    <xf numFmtId="0" fontId="31" fillId="23" borderId="4" xfId="37" applyFont="1" applyFill="1" applyBorder="1" applyAlignment="1">
      <alignment horizontal="center" vertical="center" wrapText="1"/>
    </xf>
    <xf numFmtId="0" fontId="31" fillId="23" borderId="6" xfId="37" applyFont="1" applyFill="1" applyBorder="1" applyAlignment="1">
      <alignment horizontal="center" vertical="center" wrapText="1"/>
    </xf>
  </cellXfs>
  <cellStyles count="40">
    <cellStyle name="Comma" xfId="34" builtinId="3"/>
    <cellStyle name="Comma 2" xfId="2" xr:uid="{00000000-0005-0000-0000-000002000000}"/>
    <cellStyle name="Comma 3" xfId="3" xr:uid="{00000000-0005-0000-0000-000003000000}"/>
    <cellStyle name="Comma 4" xfId="4" xr:uid="{00000000-0005-0000-0000-000004000000}"/>
    <cellStyle name="Comma 5" xfId="5" xr:uid="{00000000-0005-0000-0000-000005000000}"/>
    <cellStyle name="Currency" xfId="33" builtinId="4"/>
    <cellStyle name="Currency 2" xfId="7" xr:uid="{00000000-0005-0000-0000-000007000000}"/>
    <cellStyle name="Currency 2 2" xfId="8" xr:uid="{00000000-0005-0000-0000-000008000000}"/>
    <cellStyle name="Currency 3" xfId="9" xr:uid="{00000000-0005-0000-0000-000009000000}"/>
    <cellStyle name="Currency 3 2" xfId="10" xr:uid="{00000000-0005-0000-0000-00000A000000}"/>
    <cellStyle name="Currency 4" xfId="11" xr:uid="{00000000-0005-0000-0000-00000B000000}"/>
    <cellStyle name="Currency 5" xfId="12" xr:uid="{00000000-0005-0000-0000-00000C000000}"/>
    <cellStyle name="Currency 6" xfId="13" xr:uid="{00000000-0005-0000-0000-00000D000000}"/>
    <cellStyle name="Currency 7" xfId="14" xr:uid="{00000000-0005-0000-0000-00000E000000}"/>
    <cellStyle name="Currency 8" xfId="6" xr:uid="{00000000-0005-0000-0000-00000F000000}"/>
    <cellStyle name="Currency 9" xfId="38" xr:uid="{00000000-0005-0000-0000-000010000000}"/>
    <cellStyle name="Normal" xfId="0" builtinId="0"/>
    <cellStyle name="Normal 2" xfId="15" xr:uid="{00000000-0005-0000-0000-000012000000}"/>
    <cellStyle name="Normal 2 2" xfId="16" xr:uid="{00000000-0005-0000-0000-000013000000}"/>
    <cellStyle name="Normal 2 2 2" xfId="17" xr:uid="{00000000-0005-0000-0000-000014000000}"/>
    <cellStyle name="Normal 2 2 2 2" xfId="18" xr:uid="{00000000-0005-0000-0000-000015000000}"/>
    <cellStyle name="Normal 2 3" xfId="19" xr:uid="{00000000-0005-0000-0000-000016000000}"/>
    <cellStyle name="Normal 2 4" xfId="36" xr:uid="{00000000-0005-0000-0000-000017000000}"/>
    <cellStyle name="Normal 3" xfId="20" xr:uid="{00000000-0005-0000-0000-000018000000}"/>
    <cellStyle name="Normal 3 2" xfId="21" xr:uid="{00000000-0005-0000-0000-000019000000}"/>
    <cellStyle name="Normal 4" xfId="22" xr:uid="{00000000-0005-0000-0000-00001A000000}"/>
    <cellStyle name="Normal 5" xfId="23" xr:uid="{00000000-0005-0000-0000-00001B000000}"/>
    <cellStyle name="Normal 6" xfId="1" xr:uid="{00000000-0005-0000-0000-00001C000000}"/>
    <cellStyle name="Normal 7" xfId="37" xr:uid="{00000000-0005-0000-0000-00001D000000}"/>
    <cellStyle name="Percent" xfId="35" builtinId="5"/>
    <cellStyle name="Percent 2" xfId="25" xr:uid="{00000000-0005-0000-0000-00001F000000}"/>
    <cellStyle name="Percent 2 2" xfId="26" xr:uid="{00000000-0005-0000-0000-000020000000}"/>
    <cellStyle name="Percent 2 3" xfId="27" xr:uid="{00000000-0005-0000-0000-000021000000}"/>
    <cellStyle name="Percent 3" xfId="28" xr:uid="{00000000-0005-0000-0000-000022000000}"/>
    <cellStyle name="Percent 4" xfId="29" xr:uid="{00000000-0005-0000-0000-000023000000}"/>
    <cellStyle name="Percent 5" xfId="30" xr:uid="{00000000-0005-0000-0000-000024000000}"/>
    <cellStyle name="Percent 6" xfId="31" xr:uid="{00000000-0005-0000-0000-000025000000}"/>
    <cellStyle name="Percent 7" xfId="32" xr:uid="{00000000-0005-0000-0000-000026000000}"/>
    <cellStyle name="Percent 8" xfId="24" xr:uid="{00000000-0005-0000-0000-000027000000}"/>
    <cellStyle name="Percent 9" xfId="39" xr:uid="{00000000-0005-0000-0000-000028000000}"/>
  </cellStyles>
  <dxfs count="18">
    <dxf>
      <font>
        <b/>
        <i val="0"/>
      </font>
      <fill>
        <patternFill>
          <bgColor rgb="FFFFFF0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theme="5"/>
        </patternFill>
      </fill>
    </dxf>
    <dxf>
      <fill>
        <patternFill>
          <bgColor rgb="FF92D050"/>
        </patternFill>
      </fill>
    </dxf>
    <dxf>
      <fill>
        <patternFill>
          <bgColor rgb="FF92D050"/>
        </patternFill>
      </fill>
    </dxf>
    <dxf>
      <fill>
        <patternFill>
          <bgColor rgb="FFFFFF00"/>
        </patternFill>
      </fill>
    </dxf>
    <dxf>
      <fill>
        <patternFill>
          <bgColor rgb="FF92D050"/>
        </patternFill>
      </fill>
    </dxf>
    <dxf>
      <fill>
        <patternFill>
          <bgColor theme="6" tint="0.5999633777886288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rgb="FFFFFF00"/>
        </patternFill>
      </fill>
    </dxf>
    <dxf>
      <fill>
        <patternFill>
          <bgColor rgb="FF92D050"/>
        </patternFill>
      </fill>
    </dxf>
    <dxf>
      <fill>
        <patternFill>
          <bgColor rgb="FFFFFF00"/>
        </patternFill>
      </fill>
    </dxf>
  </dxfs>
  <tableStyles count="0" defaultTableStyle="TableStyleMedium2" defaultPivotStyle="PivotStyleLight16"/>
  <colors>
    <mruColors>
      <color rgb="FF004A96"/>
      <color rgb="FF21A0D2"/>
      <color rgb="FF9BD4EB"/>
      <color rgb="FF00793A"/>
      <color rgb="FF65AC1E"/>
      <color rgb="FF66FF66"/>
      <color rgb="FFA6C0DA"/>
      <color rgb="FFBADA9A"/>
      <color rgb="FFA6D0B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1</xdr:row>
      <xdr:rowOff>1</xdr:rowOff>
    </xdr:from>
    <xdr:to>
      <xdr:col>8</xdr:col>
      <xdr:colOff>752476</xdr:colOff>
      <xdr:row>8</xdr:row>
      <xdr:rowOff>47626</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1" y="161926"/>
          <a:ext cx="10801350" cy="1181100"/>
        </a:xfrm>
        <a:prstGeom prst="rect">
          <a:avLst/>
        </a:prstGeom>
      </xdr:spPr>
    </xdr:pic>
    <xdr:clientData/>
  </xdr:twoCellAnchor>
  <xdr:twoCellAnchor editAs="oneCell">
    <xdr:from>
      <xdr:col>0</xdr:col>
      <xdr:colOff>0</xdr:colOff>
      <xdr:row>7</xdr:row>
      <xdr:rowOff>95251</xdr:rowOff>
    </xdr:from>
    <xdr:to>
      <xdr:col>15</xdr:col>
      <xdr:colOff>26670</xdr:colOff>
      <xdr:row>14</xdr:row>
      <xdr:rowOff>142876</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0" y="1228726"/>
          <a:ext cx="12172950" cy="11811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28575</xdr:colOff>
          <xdr:row>79</xdr:row>
          <xdr:rowOff>0</xdr:rowOff>
        </xdr:from>
        <xdr:to>
          <xdr:col>9</xdr:col>
          <xdr:colOff>0</xdr:colOff>
          <xdr:row>80</xdr:row>
          <xdr:rowOff>142875</xdr:rowOff>
        </xdr:to>
        <xdr:sp macro="" textlink="">
          <xdr:nvSpPr>
            <xdr:cNvPr id="2059" name="Button 11" hidden="1">
              <a:extLst>
                <a:ext uri="{63B3BB69-23CF-44E3-9099-C40C66FF867C}">
                  <a14:compatExt spid="_x0000_s2059"/>
                </a:ext>
                <a:ext uri="{FF2B5EF4-FFF2-40B4-BE49-F238E27FC236}">
                  <a16:creationId xmlns:a16="http://schemas.microsoft.com/office/drawing/2014/main" id="{00000000-0008-0000-0100-00000B0800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en-US" sz="1200" b="0" i="0" u="none" strike="noStrike" baseline="0">
                  <a:solidFill>
                    <a:srgbClr val="000000"/>
                  </a:solidFill>
                  <a:latin typeface="Arial"/>
                  <a:cs typeface="Arial"/>
                </a:rPr>
                <a:t>Return to Top</a:t>
              </a:r>
            </a:p>
          </xdr:txBody>
        </xdr:sp>
        <xdr:clientData fPrintsWithSheet="0"/>
      </xdr:twoCellAnchor>
    </mc:Choice>
    <mc:Fallback/>
  </mc:AlternateContent>
  <xdr:twoCellAnchor editAs="oneCell">
    <xdr:from>
      <xdr:col>0</xdr:col>
      <xdr:colOff>19049</xdr:colOff>
      <xdr:row>8</xdr:row>
      <xdr:rowOff>76200</xdr:rowOff>
    </xdr:from>
    <xdr:to>
      <xdr:col>1</xdr:col>
      <xdr:colOff>238124</xdr:colOff>
      <xdr:row>14</xdr:row>
      <xdr:rowOff>76200</xdr:rowOff>
    </xdr:to>
    <xdr:pic>
      <xdr:nvPicPr>
        <xdr:cNvPr id="6" name="Picture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1"/>
        <a:stretch>
          <a:fillRect/>
        </a:stretch>
      </xdr:blipFill>
      <xdr:spPr>
        <a:xfrm>
          <a:off x="19049" y="1866900"/>
          <a:ext cx="3305175" cy="1076325"/>
        </a:xfrm>
        <a:prstGeom prst="rect">
          <a:avLst/>
        </a:prstGeom>
      </xdr:spPr>
    </xdr:pic>
    <xdr:clientData/>
  </xdr:twoCellAnchor>
  <xdr:twoCellAnchor editAs="oneCell">
    <xdr:from>
      <xdr:col>0</xdr:col>
      <xdr:colOff>1</xdr:colOff>
      <xdr:row>0</xdr:row>
      <xdr:rowOff>0</xdr:rowOff>
    </xdr:from>
    <xdr:to>
      <xdr:col>14</xdr:col>
      <xdr:colOff>9525</xdr:colOff>
      <xdr:row>7</xdr:row>
      <xdr:rowOff>9525</xdr:rowOff>
    </xdr:to>
    <xdr:pic>
      <xdr:nvPicPr>
        <xdr:cNvPr id="3" name="Picture 2">
          <a:extLst>
            <a:ext uri="{FF2B5EF4-FFF2-40B4-BE49-F238E27FC236}">
              <a16:creationId xmlns:a16="http://schemas.microsoft.com/office/drawing/2014/main" id="{17DA6813-D95B-C693-6431-706B911E9EBA}"/>
            </a:ext>
          </a:extLst>
        </xdr:cNvPr>
        <xdr:cNvPicPr>
          <a:picLocks noChangeAspect="1"/>
        </xdr:cNvPicPr>
      </xdr:nvPicPr>
      <xdr:blipFill>
        <a:blip xmlns:r="http://schemas.openxmlformats.org/officeDocument/2006/relationships" r:embed="rId2"/>
        <a:stretch>
          <a:fillRect/>
        </a:stretch>
      </xdr:blipFill>
      <xdr:spPr>
        <a:xfrm>
          <a:off x="1" y="0"/>
          <a:ext cx="11363324" cy="1400175"/>
        </a:xfrm>
        <a:prstGeom prst="rect">
          <a:avLst/>
        </a:prstGeom>
      </xdr:spPr>
    </xdr:pic>
    <xdr:clientData/>
  </xdr:twoCellAnchor>
  <xdr:twoCellAnchor editAs="oneCell">
    <xdr:from>
      <xdr:col>1</xdr:col>
      <xdr:colOff>323851</xdr:colOff>
      <xdr:row>7</xdr:row>
      <xdr:rowOff>219075</xdr:rowOff>
    </xdr:from>
    <xdr:to>
      <xdr:col>14</xdr:col>
      <xdr:colOff>9525</xdr:colOff>
      <xdr:row>15</xdr:row>
      <xdr:rowOff>19050</xdr:rowOff>
    </xdr:to>
    <xdr:pic>
      <xdr:nvPicPr>
        <xdr:cNvPr id="5" name="Picture 4">
          <a:extLst>
            <a:ext uri="{FF2B5EF4-FFF2-40B4-BE49-F238E27FC236}">
              <a16:creationId xmlns:a16="http://schemas.microsoft.com/office/drawing/2014/main" id="{AF855B1E-DF28-41DB-C79F-4FDF62FAF2CC}"/>
            </a:ext>
          </a:extLst>
        </xdr:cNvPr>
        <xdr:cNvPicPr>
          <a:picLocks noChangeAspect="1"/>
        </xdr:cNvPicPr>
      </xdr:nvPicPr>
      <xdr:blipFill>
        <a:blip xmlns:r="http://schemas.openxmlformats.org/officeDocument/2006/relationships" r:embed="rId3"/>
        <a:stretch>
          <a:fillRect/>
        </a:stretch>
      </xdr:blipFill>
      <xdr:spPr>
        <a:xfrm>
          <a:off x="3409951" y="1609725"/>
          <a:ext cx="7953374" cy="13049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609600</xdr:colOff>
          <xdr:row>14</xdr:row>
          <xdr:rowOff>76200</xdr:rowOff>
        </xdr:from>
        <xdr:to>
          <xdr:col>4</xdr:col>
          <xdr:colOff>981075</xdr:colOff>
          <xdr:row>17</xdr:row>
          <xdr:rowOff>9525</xdr:rowOff>
        </xdr:to>
        <xdr:sp macro="" textlink="">
          <xdr:nvSpPr>
            <xdr:cNvPr id="3074" name="Button 2" hidden="1">
              <a:extLst>
                <a:ext uri="{63B3BB69-23CF-44E3-9099-C40C66FF867C}">
                  <a14:compatExt spid="_x0000_s3074"/>
                </a:ext>
                <a:ext uri="{FF2B5EF4-FFF2-40B4-BE49-F238E27FC236}">
                  <a16:creationId xmlns:a16="http://schemas.microsoft.com/office/drawing/2014/main" id="{00000000-0008-0000-0200-0000020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200" b="1" i="0" u="none" strike="noStrike" baseline="0">
                  <a:solidFill>
                    <a:srgbClr val="000000"/>
                  </a:solidFill>
                  <a:latin typeface="Arial"/>
                  <a:cs typeface="Arial"/>
                </a:rPr>
                <a:t>Refresh Planner</a:t>
              </a:r>
            </a:p>
          </xdr:txBody>
        </xdr:sp>
        <xdr:clientData fPrintsWithSheet="0"/>
      </xdr:twoCellAnchor>
    </mc:Choice>
    <mc:Fallback/>
  </mc:AlternateContent>
  <xdr:twoCellAnchor editAs="oneCell">
    <xdr:from>
      <xdr:col>0</xdr:col>
      <xdr:colOff>0</xdr:colOff>
      <xdr:row>0</xdr:row>
      <xdr:rowOff>0</xdr:rowOff>
    </xdr:from>
    <xdr:to>
      <xdr:col>13</xdr:col>
      <xdr:colOff>28574</xdr:colOff>
      <xdr:row>13</xdr:row>
      <xdr:rowOff>122924</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xfrm>
          <a:off x="0" y="0"/>
          <a:ext cx="10296524" cy="222794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6</xdr:col>
      <xdr:colOff>9526</xdr:colOff>
      <xdr:row>9</xdr:row>
      <xdr:rowOff>123826</xdr:rowOff>
    </xdr:to>
    <xdr:pic>
      <xdr:nvPicPr>
        <xdr:cNvPr id="3" name="Picture 2">
          <a:extLst>
            <a:ext uri="{FF2B5EF4-FFF2-40B4-BE49-F238E27FC236}">
              <a16:creationId xmlns:a16="http://schemas.microsoft.com/office/drawing/2014/main" id="{A7B38B6F-6C87-412C-8566-F9D4068F55CB}"/>
            </a:ext>
          </a:extLst>
        </xdr:cNvPr>
        <xdr:cNvPicPr>
          <a:picLocks noChangeAspect="1"/>
        </xdr:cNvPicPr>
      </xdr:nvPicPr>
      <xdr:blipFill>
        <a:blip xmlns:r="http://schemas.openxmlformats.org/officeDocument/2006/relationships" r:embed="rId1"/>
        <a:stretch>
          <a:fillRect/>
        </a:stretch>
      </xdr:blipFill>
      <xdr:spPr>
        <a:xfrm>
          <a:off x="1" y="1"/>
          <a:ext cx="10591800" cy="15811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trlProp" Target="../ctrlProps/ctrlProp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mailto:Encartis@%20fungicide"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mailto:Encartis@%20fungicide"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494FFA-BBBE-4264-A188-406D042975FA}">
  <sheetPr codeName="Sheet8">
    <tabColor theme="4" tint="0.59999389629810485"/>
    <pageSetUpPr fitToPage="1"/>
  </sheetPr>
  <dimension ref="A16:S46"/>
  <sheetViews>
    <sheetView showGridLines="0" tabSelected="1" zoomScaleNormal="100" workbookViewId="0">
      <selection activeCell="D20" sqref="D20"/>
    </sheetView>
  </sheetViews>
  <sheetFormatPr defaultColWidth="12.42578125" defaultRowHeight="12.75" x14ac:dyDescent="0.2"/>
  <cols>
    <col min="1" max="1" width="22.7109375" customWidth="1"/>
    <col min="2" max="9" width="18.28515625" customWidth="1"/>
    <col min="10" max="10" width="13.28515625" bestFit="1" customWidth="1"/>
    <col min="11" max="11" width="9" hidden="1" customWidth="1"/>
    <col min="12" max="12" width="4.85546875" hidden="1" customWidth="1"/>
    <col min="13" max="13" width="8.5703125" hidden="1" customWidth="1"/>
    <col min="14" max="14" width="6.28515625" hidden="1" customWidth="1"/>
    <col min="15" max="15" width="8.42578125" hidden="1" customWidth="1"/>
  </cols>
  <sheetData>
    <row r="16" spans="1:1" x14ac:dyDescent="0.2">
      <c r="A16" s="52"/>
    </row>
    <row r="17" spans="1:19" ht="15" x14ac:dyDescent="0.25">
      <c r="A17" s="198" t="s">
        <v>186</v>
      </c>
      <c r="B17" s="199"/>
      <c r="C17" s="199"/>
      <c r="D17" s="199"/>
      <c r="E17" s="199"/>
      <c r="F17" s="199"/>
      <c r="G17" s="199"/>
      <c r="H17" s="199"/>
      <c r="I17" s="199"/>
      <c r="J17" s="199"/>
    </row>
    <row r="18" spans="1:19" x14ac:dyDescent="0.2">
      <c r="A18" s="196" t="s">
        <v>113</v>
      </c>
      <c r="B18" s="196" t="s">
        <v>41</v>
      </c>
      <c r="C18" s="196" t="s">
        <v>69</v>
      </c>
      <c r="D18" s="196" t="s">
        <v>77</v>
      </c>
      <c r="E18" s="196" t="s">
        <v>107</v>
      </c>
      <c r="F18" s="196" t="s">
        <v>112</v>
      </c>
      <c r="G18" s="202" t="s">
        <v>109</v>
      </c>
      <c r="H18" s="200" t="s">
        <v>111</v>
      </c>
      <c r="I18" s="200" t="s">
        <v>114</v>
      </c>
      <c r="J18" s="200" t="s">
        <v>209</v>
      </c>
    </row>
    <row r="19" spans="1:19" ht="23.25" customHeight="1" x14ac:dyDescent="0.2">
      <c r="A19" s="197"/>
      <c r="B19" s="197"/>
      <c r="C19" s="197"/>
      <c r="D19" s="197"/>
      <c r="E19" s="197"/>
      <c r="F19" s="197"/>
      <c r="G19" s="203"/>
      <c r="H19" s="200"/>
      <c r="I19" s="200"/>
      <c r="J19" s="200"/>
      <c r="K19" s="86" t="s">
        <v>102</v>
      </c>
      <c r="L19" s="86" t="s">
        <v>108</v>
      </c>
      <c r="M19" s="86" t="s">
        <v>110</v>
      </c>
      <c r="N19" s="86" t="s">
        <v>126</v>
      </c>
      <c r="P19" s="148"/>
    </row>
    <row r="20" spans="1:19" ht="23.25" customHeight="1" x14ac:dyDescent="0.2">
      <c r="A20" s="105" t="s">
        <v>264</v>
      </c>
      <c r="B20" s="87" t="str">
        <f>VLOOKUP(C20,'Article Reference'!$A$3:$C$17,3,FALSE)</f>
        <v>2 x 2.5 gal</v>
      </c>
      <c r="C20" s="98">
        <v>59026671</v>
      </c>
      <c r="D20" s="95"/>
      <c r="E20" s="96">
        <v>0</v>
      </c>
      <c r="F20" s="147" t="s">
        <v>285</v>
      </c>
      <c r="G20" s="97">
        <v>0</v>
      </c>
      <c r="H20" s="88">
        <f>IF(M20=0,0,(G20*E20)/M20)</f>
        <v>0</v>
      </c>
      <c r="I20" s="89">
        <f>IF(G20*E20=0,0,(ROUND(H20,2)*VLOOKUP(K20,'Step 2 - Order Planner'!$C$26:$D$76,2,FALSE))/(G20*E20))</f>
        <v>0</v>
      </c>
      <c r="J20" s="89">
        <f>IF(G20*E20=0,0,((VLOOKUP(K20,'Step 2 - Order Planner'!$C$26:$D$76,2,FALSE)*(1-'Step 2 - Order Planner'!$B$20))*ROUND(H20,2))/(G20*E20))</f>
        <v>0</v>
      </c>
      <c r="K20" s="21">
        <v>59026671</v>
      </c>
      <c r="L20" s="86">
        <v>7</v>
      </c>
      <c r="M20" s="85">
        <f>IF(L20=0,0,VLOOKUP(K20,'Coverage Reference'!$B$4:$H$21,L20,FALSE))</f>
        <v>14.712643678160919</v>
      </c>
      <c r="N20" s="93">
        <f>H20</f>
        <v>0</v>
      </c>
      <c r="P20" s="25"/>
    </row>
    <row r="21" spans="1:19" ht="23.25" customHeight="1" x14ac:dyDescent="0.2">
      <c r="A21" s="105" t="s">
        <v>264</v>
      </c>
      <c r="B21" s="87" t="s">
        <v>277</v>
      </c>
      <c r="C21" s="98">
        <v>59032979</v>
      </c>
      <c r="D21" s="95"/>
      <c r="E21" s="96">
        <v>0</v>
      </c>
      <c r="F21" s="147" t="s">
        <v>285</v>
      </c>
      <c r="G21" s="97">
        <v>0</v>
      </c>
      <c r="H21" s="88">
        <f>IF(M21=0,0,(G21*E21)/M21)</f>
        <v>0</v>
      </c>
      <c r="I21" s="89">
        <f>IF(G21*E21=0,0,(ROUND(H21,2)*VLOOKUP(K21,'Step 2 - Order Planner'!$C$26:$D$76,2,FALSE))/(G21*E21))</f>
        <v>0</v>
      </c>
      <c r="J21" s="89">
        <f>IF(G21*E21=0,0,((VLOOKUP(K21,'Step 2 - Order Planner'!$C$26:$D$76,2,FALSE)*(1-'Step 2 - Order Planner'!$B$20))*ROUND(H21,2))/(G21*E21))</f>
        <v>0</v>
      </c>
      <c r="K21" s="21">
        <v>59032979</v>
      </c>
      <c r="L21" s="86">
        <v>7</v>
      </c>
      <c r="M21" s="85">
        <f>IF(L21=0,0,VLOOKUP(K21,'Coverage Reference'!$B$4:$H$21,L21,FALSE))</f>
        <v>4</v>
      </c>
      <c r="N21" s="93">
        <f>H21</f>
        <v>0</v>
      </c>
      <c r="P21" s="25"/>
    </row>
    <row r="22" spans="1:19" ht="14.1" customHeight="1" x14ac:dyDescent="0.2">
      <c r="A22" s="105" t="s">
        <v>137</v>
      </c>
      <c r="B22" s="87" t="str">
        <f>VLOOKUP(C22,'Article Reference'!$A$3:$C$17,3,FALSE)</f>
        <v>10 x 0.49 lb</v>
      </c>
      <c r="C22" s="98">
        <v>59021463</v>
      </c>
      <c r="D22" s="95"/>
      <c r="E22" s="96">
        <v>0</v>
      </c>
      <c r="F22" s="147" t="s">
        <v>223</v>
      </c>
      <c r="G22" s="97">
        <v>0</v>
      </c>
      <c r="H22" s="88">
        <f t="shared" ref="H22:H34" si="0">IF(M22=0,0,(G22*E22)/M22)</f>
        <v>0</v>
      </c>
      <c r="I22" s="89">
        <f>IF(G22*E22=0,0,(ROUND(H22,2)*VLOOKUP(K22,'Step 2 - Order Planner'!$C$26:$D$76,2,FALSE))/(G22*E22))</f>
        <v>0</v>
      </c>
      <c r="J22" s="89">
        <f>IF(G22*E22=0,0,((VLOOKUP(K22,'Step 2 - Order Planner'!$C$26:$D$76,2,FALSE)*(1-'Step 2 - Order Planner'!$B$20))*ROUND(H22,2))/(G22*E22))</f>
        <v>0</v>
      </c>
      <c r="K22" s="21">
        <v>59021463</v>
      </c>
      <c r="L22" s="114">
        <v>7</v>
      </c>
      <c r="M22" s="85">
        <f>IF(L22=0,0,VLOOKUP(K22,'Coverage Reference'!$B$4:$H$21,L22,FALSE))</f>
        <v>10</v>
      </c>
      <c r="N22" s="93">
        <f>H22</f>
        <v>0</v>
      </c>
    </row>
    <row r="23" spans="1:19" ht="14.1" customHeight="1" x14ac:dyDescent="0.2">
      <c r="A23" s="105" t="s">
        <v>192</v>
      </c>
      <c r="B23" s="87" t="str">
        <f>VLOOKUP(C23,'Article Reference'!$A$3:$C$17,3,FALSE)</f>
        <v>2 x 2.5 gal</v>
      </c>
      <c r="C23" s="98">
        <v>59014003</v>
      </c>
      <c r="D23" s="95"/>
      <c r="E23" s="96">
        <v>0</v>
      </c>
      <c r="F23" s="147" t="s">
        <v>203</v>
      </c>
      <c r="G23" s="97">
        <v>0</v>
      </c>
      <c r="H23" s="88">
        <f>IF(M23=0,0,(G23*E23)/M23)</f>
        <v>0</v>
      </c>
      <c r="I23" s="89">
        <f>IF(G23*E23=0,0,(ROUND(H23,2)*VLOOKUP(K23,'Step 2 - Order Planner'!$C$26:$D$76,2,FALSE))/(G23*E23))</f>
        <v>0</v>
      </c>
      <c r="J23" s="89">
        <f>IF(G23*E23=0,0,((VLOOKUP(K23,'Step 2 - Order Planner'!$C$26:$D$76,2,FALSE)*(1-'Step 2 - Order Planner'!$B$20))*ROUND(H23,2))/(G23*E23))</f>
        <v>0</v>
      </c>
      <c r="K23" s="21">
        <v>59014003</v>
      </c>
      <c r="L23" s="48">
        <f>IF(F23="130.5 fl oz",5,IF(F23="152.5 fl oz",6,IF(F23="174.0 fl oz",7,)))</f>
        <v>0</v>
      </c>
      <c r="M23" s="85">
        <f>IF(L23=0,0,VLOOKUP(K23,'Coverage Reference'!$B$4:$H$21,L23,FALSE))</f>
        <v>0</v>
      </c>
      <c r="N23" s="93">
        <f>H23</f>
        <v>0</v>
      </c>
    </row>
    <row r="24" spans="1:19" ht="14.1" customHeight="1" x14ac:dyDescent="0.2">
      <c r="A24" s="195" t="s">
        <v>167</v>
      </c>
      <c r="B24" s="87" t="str">
        <f>VLOOKUP(C24,'Article Reference'!$A$3:$C$17,3,FALSE)</f>
        <v>6 x 3 lb</v>
      </c>
      <c r="C24" s="98">
        <v>59012350</v>
      </c>
      <c r="D24" s="95"/>
      <c r="E24" s="96">
        <v>0</v>
      </c>
      <c r="F24" s="147" t="s">
        <v>224</v>
      </c>
      <c r="G24" s="97">
        <v>0</v>
      </c>
      <c r="H24" s="88">
        <f t="shared" si="0"/>
        <v>0</v>
      </c>
      <c r="I24" s="89">
        <f>IF(G24*E24=0,0,(ROUND(H24,2)*VLOOKUP(K24,'Step 2 - Order Planner'!$C$26:$D$76,2,FALSE))/(G24*E24))</f>
        <v>0</v>
      </c>
      <c r="J24" s="89">
        <f>IF(G24*E24=0,0,((VLOOKUP(K24,'Step 2 - Order Planner'!$C$26:$D$76,2,FALSE)*(1-'Step 2 - Order Planner'!$B$20))*ROUND(H24,2))/(G24*E24))</f>
        <v>0</v>
      </c>
      <c r="K24" s="21">
        <v>59012350</v>
      </c>
      <c r="L24" s="114">
        <v>7</v>
      </c>
      <c r="M24" s="85">
        <f>IF(L24=0,0,VLOOKUP(K24,'Coverage Reference'!$B$4:$H$21,L24,FALSE))</f>
        <v>6</v>
      </c>
      <c r="N24" s="93">
        <f t="shared" ref="N24:N34" si="1">H24</f>
        <v>0</v>
      </c>
    </row>
    <row r="25" spans="1:19" ht="14.1" customHeight="1" x14ac:dyDescent="0.2">
      <c r="A25" s="195"/>
      <c r="B25" s="87" t="str">
        <f>VLOOKUP(C25,'Article Reference'!$A$3:$C$17,3,FALSE)</f>
        <v>1 x 36 lb</v>
      </c>
      <c r="C25" s="98">
        <v>59012885</v>
      </c>
      <c r="D25" s="95"/>
      <c r="E25" s="96">
        <v>0</v>
      </c>
      <c r="F25" s="147" t="s">
        <v>224</v>
      </c>
      <c r="G25" s="97">
        <v>0</v>
      </c>
      <c r="H25" s="88">
        <f t="shared" si="0"/>
        <v>0</v>
      </c>
      <c r="I25" s="89">
        <f>IF(G25*E25=0,0,(ROUND(H25,2)*VLOOKUP(K25,'Step 2 - Order Planner'!$C$26:$D$76,2,FALSE))/(G25*E25))</f>
        <v>0</v>
      </c>
      <c r="J25" s="89">
        <f>IF(G25*E25=0,0,((VLOOKUP(K25,'Step 2 - Order Planner'!$C$26:$D$76,2,FALSE)*(1-'Step 2 - Order Planner'!$B$20))*ROUND(H25,2))/(G25*E25))</f>
        <v>0</v>
      </c>
      <c r="K25" s="21">
        <v>59012885</v>
      </c>
      <c r="L25" s="114">
        <v>7</v>
      </c>
      <c r="M25" s="85">
        <f>IF(L25=0,0,VLOOKUP(K25,'Coverage Reference'!$B$4:$H$21,L25,FALSE))</f>
        <v>12</v>
      </c>
      <c r="N25" s="93">
        <f t="shared" si="1"/>
        <v>0</v>
      </c>
      <c r="Q25" s="32"/>
      <c r="R25" s="32"/>
      <c r="S25" s="32"/>
    </row>
    <row r="26" spans="1:19" ht="13.5" customHeight="1" x14ac:dyDescent="0.2">
      <c r="A26" s="204" t="s">
        <v>168</v>
      </c>
      <c r="B26" s="87" t="str">
        <f>VLOOKUP(C26,'Article Reference'!$A$3:$C$17,3,FALSE)</f>
        <v>4 x 30.5 fl oz</v>
      </c>
      <c r="C26" s="98">
        <v>59028038</v>
      </c>
      <c r="D26" s="95"/>
      <c r="E26" s="96">
        <v>0</v>
      </c>
      <c r="F26" s="147" t="s">
        <v>222</v>
      </c>
      <c r="G26" s="97">
        <v>0</v>
      </c>
      <c r="H26" s="88">
        <f t="shared" si="0"/>
        <v>0</v>
      </c>
      <c r="I26" s="89">
        <f>IF(G26*E26=0,0,(ROUND(H26,2)*VLOOKUP(K26,'Step 2 - Order Planner'!$C$26:$D$76,2,FALSE))/(G26*E26))</f>
        <v>0</v>
      </c>
      <c r="J26" s="89">
        <f>IF(G26*E26=0,0,((VLOOKUP(K26,'Step 2 - Order Planner'!$C$26:$D$76,2,FALSE)*(1-'Step 2 - Order Planner'!$B$20))*ROUND(H26,2))/(G26*E26))</f>
        <v>0</v>
      </c>
      <c r="K26" s="21">
        <v>59028038</v>
      </c>
      <c r="L26" s="114">
        <v>7</v>
      </c>
      <c r="M26" s="85">
        <f>IF(L26=0,0,VLOOKUP(K26,'Coverage Reference'!$B$4:$H$21,L26,FALSE))</f>
        <v>4</v>
      </c>
      <c r="N26" s="93">
        <f t="shared" si="1"/>
        <v>0</v>
      </c>
      <c r="O26" t="s">
        <v>43</v>
      </c>
      <c r="Q26" s="32"/>
      <c r="R26" s="32"/>
    </row>
    <row r="27" spans="1:19" ht="14.1" customHeight="1" x14ac:dyDescent="0.2">
      <c r="A27" s="204"/>
      <c r="B27" s="87" t="str">
        <f>VLOOKUP(C27,'Article Reference'!$A$3:$C$17,3,FALSE)</f>
        <v>2 x 2.5 gal</v>
      </c>
      <c r="C27" s="98">
        <v>59028040</v>
      </c>
      <c r="D27" s="95"/>
      <c r="E27" s="96">
        <v>0</v>
      </c>
      <c r="F27" s="147" t="s">
        <v>222</v>
      </c>
      <c r="G27" s="97">
        <v>0</v>
      </c>
      <c r="H27" s="88">
        <f t="shared" si="0"/>
        <v>0</v>
      </c>
      <c r="I27" s="89">
        <f>IF(G27*E27=0,0,(ROUND(H27,2)*VLOOKUP(K27,'Step 2 - Order Planner'!$C$26:$D$76,2,FALSE))/(G27*E27))</f>
        <v>0</v>
      </c>
      <c r="J27" s="89">
        <f>IF(G27*E27=0,0,((VLOOKUP(K27,'Step 2 - Order Planner'!$C$26:$D$76,2,FALSE)*(1-'Step 2 - Order Planner'!$B$20))*ROUND(H27,2))/(G27*E27))</f>
        <v>0</v>
      </c>
      <c r="K27" s="21">
        <v>59028040</v>
      </c>
      <c r="L27" s="114">
        <v>7</v>
      </c>
      <c r="M27" s="85">
        <f>IF(L27=0,0,VLOOKUP(K27,'Coverage Reference'!$B$4:$H$21,L27,FALSE))</f>
        <v>21</v>
      </c>
      <c r="N27" s="93">
        <f t="shared" si="1"/>
        <v>0</v>
      </c>
      <c r="O27" t="s">
        <v>42</v>
      </c>
      <c r="Q27" s="32"/>
      <c r="R27" s="32"/>
      <c r="S27" s="32"/>
    </row>
    <row r="28" spans="1:19" ht="14.1" customHeight="1" x14ac:dyDescent="0.2">
      <c r="A28" s="105" t="s">
        <v>169</v>
      </c>
      <c r="B28" s="87" t="str">
        <f>VLOOKUP(C28,'Article Reference'!$A$3:$C$17,3,FALSE)</f>
        <v>4 x 21 oz</v>
      </c>
      <c r="C28" s="98">
        <v>59027998</v>
      </c>
      <c r="D28" s="95"/>
      <c r="E28" s="96">
        <v>0</v>
      </c>
      <c r="F28" s="147" t="s">
        <v>225</v>
      </c>
      <c r="G28" s="97">
        <v>0</v>
      </c>
      <c r="H28" s="88">
        <f t="shared" si="0"/>
        <v>0</v>
      </c>
      <c r="I28" s="89">
        <f>IF(G28*E28=0,0,(ROUND(H28,2)*VLOOKUP(K28,'Step 2 - Order Planner'!$C$26:$D$76,2,FALSE))/(G28*E28))</f>
        <v>0</v>
      </c>
      <c r="J28" s="89">
        <f>IF(G28*E28=0,0,((VLOOKUP(K28,'Step 2 - Order Planner'!$C$26:$D$76,2,FALSE)*(1-'Step 2 - Order Planner'!$B$20))*ROUND(H28,2))/(G28*E28))</f>
        <v>0</v>
      </c>
      <c r="K28" s="21">
        <v>59027998</v>
      </c>
      <c r="L28" s="114">
        <v>7</v>
      </c>
      <c r="M28" s="85">
        <f>IF(L28=0,0,VLOOKUP(K28,'Coverage Reference'!$B$4:$H$21,L28,FALSE))</f>
        <v>4</v>
      </c>
      <c r="N28" s="93">
        <f t="shared" si="1"/>
        <v>0</v>
      </c>
    </row>
    <row r="29" spans="1:19" ht="14.1" customHeight="1" x14ac:dyDescent="0.2">
      <c r="A29" s="195" t="s">
        <v>139</v>
      </c>
      <c r="B29" s="87" t="str">
        <f>VLOOKUP(C29,'Article Reference'!$A$3:$C$17,3,FALSE)</f>
        <v>4 x 26 oz</v>
      </c>
      <c r="C29" s="98">
        <v>59018087</v>
      </c>
      <c r="D29" s="95"/>
      <c r="E29" s="96">
        <v>0</v>
      </c>
      <c r="F29" s="147" t="s">
        <v>203</v>
      </c>
      <c r="G29" s="97">
        <v>0</v>
      </c>
      <c r="H29" s="88">
        <f t="shared" si="0"/>
        <v>0</v>
      </c>
      <c r="I29" s="89">
        <f>IF(G29*E29=0,0,(ROUND(H29,2)*VLOOKUP(K29,'Step 2 - Order Planner'!$C$26:$D$76,2,FALSE))/(G29*E29))</f>
        <v>0</v>
      </c>
      <c r="J29" s="89">
        <f>IF(G29*E29=0,0,((VLOOKUP(K29,'Step 2 - Order Planner'!$C$26:$D$76,2,FALSE)*(1-'Step 2 - Order Planner'!$B$20))*ROUND(H29,2))/(G29*E29))</f>
        <v>0</v>
      </c>
      <c r="K29" s="21">
        <v>59018087</v>
      </c>
      <c r="L29" s="48">
        <f>IF(F29="8.7 oz",4,IF(F29="17.4 oz",5,IF(F29="26.1 oz",6,IF(F29="34.8 oz",7,0))))</f>
        <v>0</v>
      </c>
      <c r="M29" s="85">
        <f>IF(L29=0,0,VLOOKUP(K29,'Coverage Reference'!$B$4:$H$21,L29,FALSE))</f>
        <v>0</v>
      </c>
      <c r="N29" s="93">
        <f t="shared" si="1"/>
        <v>0</v>
      </c>
    </row>
    <row r="30" spans="1:19" ht="14.1" customHeight="1" x14ac:dyDescent="0.2">
      <c r="A30" s="195"/>
      <c r="B30" s="87" t="str">
        <f>VLOOKUP(C30,'Article Reference'!$A$3:$C$17,3,FALSE)</f>
        <v>2 x 2.5 gal</v>
      </c>
      <c r="C30" s="98">
        <v>59018071</v>
      </c>
      <c r="D30" s="95"/>
      <c r="E30" s="96">
        <v>0</v>
      </c>
      <c r="F30" s="147" t="s">
        <v>203</v>
      </c>
      <c r="G30" s="97">
        <v>0</v>
      </c>
      <c r="H30" s="88">
        <f t="shared" si="0"/>
        <v>0</v>
      </c>
      <c r="I30" s="89">
        <f>IF(G30*E30=0,0,(ROUND(H30,2)*VLOOKUP(K30,'Step 2 - Order Planner'!$C$26:$D$76,2,FALSE))/(G30*E30))</f>
        <v>0</v>
      </c>
      <c r="J30" s="89">
        <f>IF(G30*E30=0,0,((VLOOKUP(K30,'Step 2 - Order Planner'!$C$26:$D$76,2,FALSE)*(1-'Step 2 - Order Planner'!$B$20))*ROUND(H30,2))/(G30*E30))</f>
        <v>0</v>
      </c>
      <c r="K30" s="21">
        <v>59018071</v>
      </c>
      <c r="L30" s="48">
        <f>IF(F30="8.7 oz",4,IF(F30="17.4 oz",5,IF(F30="26.1 oz",6,IF(F30="34.8 oz",7,0))))</f>
        <v>0</v>
      </c>
      <c r="M30" s="85">
        <f>IF(L30=0,0,VLOOKUP(K30,'Coverage Reference'!$B$4:$H$21,L30,FALSE))</f>
        <v>0</v>
      </c>
      <c r="N30" s="93">
        <f t="shared" si="1"/>
        <v>0</v>
      </c>
    </row>
    <row r="31" spans="1:19" ht="14.1" customHeight="1" x14ac:dyDescent="0.2">
      <c r="A31" s="195" t="s">
        <v>170</v>
      </c>
      <c r="B31" s="87" t="str">
        <f>VLOOKUP(C31,'Article Reference'!$A$3:$C$17,3,FALSE)</f>
        <v>4 x 37 fl oz</v>
      </c>
      <c r="C31" s="98">
        <v>59018094</v>
      </c>
      <c r="D31" s="95"/>
      <c r="E31" s="96">
        <v>0</v>
      </c>
      <c r="F31" s="147" t="s">
        <v>226</v>
      </c>
      <c r="G31" s="97">
        <v>0</v>
      </c>
      <c r="H31" s="88">
        <f t="shared" si="0"/>
        <v>0</v>
      </c>
      <c r="I31" s="89">
        <f>IF(G31*E31=0,0,(ROUND(H31,2)*VLOOKUP(K31,'Step 2 - Order Planner'!$C$26:$D$76,2,FALSE))/(G31*E31))</f>
        <v>0</v>
      </c>
      <c r="J31" s="89">
        <f>IF(G31*E31=0,0,((VLOOKUP(K31,'Step 2 - Order Planner'!$C$26:$D$76,2,FALSE)*(1-'Step 2 - Order Planner'!$B$20))*ROUND(H31,2))/(G31*E31))</f>
        <v>0</v>
      </c>
      <c r="K31" s="21">
        <v>59018094</v>
      </c>
      <c r="L31" s="114">
        <v>7</v>
      </c>
      <c r="M31" s="85">
        <f>IF(L31=0,0,VLOOKUP(K31,'Coverage Reference'!$B$4:$H$21,L31,FALSE))</f>
        <v>4</v>
      </c>
      <c r="N31" s="93">
        <f t="shared" si="1"/>
        <v>0</v>
      </c>
    </row>
    <row r="32" spans="1:19" ht="14.1" customHeight="1" x14ac:dyDescent="0.2">
      <c r="A32" s="195"/>
      <c r="B32" s="87" t="str">
        <f>VLOOKUP(C32,'Article Reference'!$A$3:$C$17,3,FALSE)</f>
        <v>2 x 2.5 gal</v>
      </c>
      <c r="C32" s="98">
        <v>59018095</v>
      </c>
      <c r="D32" s="95"/>
      <c r="E32" s="96">
        <v>0</v>
      </c>
      <c r="F32" s="147" t="s">
        <v>226</v>
      </c>
      <c r="G32" s="97">
        <v>0</v>
      </c>
      <c r="H32" s="88">
        <f t="shared" si="0"/>
        <v>0</v>
      </c>
      <c r="I32" s="89">
        <f>IF(G32*E32=0,0,(ROUND(H32,2)*VLOOKUP(K32,'Step 2 - Order Planner'!$C$26:$D$76,2,FALSE))/(G32*E32))</f>
        <v>0</v>
      </c>
      <c r="J32" s="89">
        <f>IF(G32*E32=0,0,((VLOOKUP(K32,'Step 2 - Order Planner'!$C$26:$D$76,2,FALSE)*(1-'Step 2 - Order Planner'!$B$20))*ROUND(H32,2))/(G32*E32))</f>
        <v>0</v>
      </c>
      <c r="K32" s="21">
        <v>59018095</v>
      </c>
      <c r="L32" s="114">
        <v>7</v>
      </c>
      <c r="M32" s="85">
        <f>IF(L32=0,0,VLOOKUP(K32,'Coverage Reference'!$B$4:$H$21,L32,FALSE))</f>
        <v>17</v>
      </c>
      <c r="N32" s="93">
        <f t="shared" si="1"/>
        <v>0</v>
      </c>
    </row>
    <row r="33" spans="1:14" ht="14.1" customHeight="1" x14ac:dyDescent="0.2">
      <c r="A33" s="195" t="s">
        <v>171</v>
      </c>
      <c r="B33" s="87" t="str">
        <f>VLOOKUP(C33,'Article Reference'!$A$3:$C$17,3,FALSE)</f>
        <v>4 x 11.4 oz</v>
      </c>
      <c r="C33" s="98">
        <v>59014120</v>
      </c>
      <c r="D33" s="95"/>
      <c r="E33" s="96">
        <v>0</v>
      </c>
      <c r="F33" s="147" t="s">
        <v>203</v>
      </c>
      <c r="G33" s="97">
        <v>0</v>
      </c>
      <c r="H33" s="88">
        <f t="shared" si="0"/>
        <v>0</v>
      </c>
      <c r="I33" s="89">
        <f>IF(G33*E33=0,0,(ROUND(H33,2)*VLOOKUP(K33,'Step 2 - Order Planner'!$C$26:$D$76,2,FALSE))/(G33*E33))</f>
        <v>0</v>
      </c>
      <c r="J33" s="89">
        <f>IF(G33*E33=0,0,((VLOOKUP(K33,'Step 2 - Order Planner'!$C$26:$D$76,2,FALSE)*(1-'Step 2 - Order Planner'!$B$20))*ROUND(H33,2))/(G33*E33))</f>
        <v>0</v>
      </c>
      <c r="K33" s="21">
        <v>59014120</v>
      </c>
      <c r="L33" s="48">
        <f>IF(F33="7 oz",5,IF(F33="9.2 oz",6,IF(F33="11.4 oz",7,0)))</f>
        <v>0</v>
      </c>
      <c r="M33" s="85">
        <f>IF(L33=0,0,VLOOKUP(K33,'Coverage Reference'!$B$4:$H$21,L33,FALSE))</f>
        <v>0</v>
      </c>
      <c r="N33" s="93">
        <f t="shared" si="1"/>
        <v>0</v>
      </c>
    </row>
    <row r="34" spans="1:14" ht="14.1" customHeight="1" x14ac:dyDescent="0.2">
      <c r="A34" s="195"/>
      <c r="B34" s="87" t="str">
        <f>VLOOKUP(C34,'Article Reference'!$A$3:$C$17,3,FALSE)</f>
        <v>2 x 114 oz</v>
      </c>
      <c r="C34" s="98">
        <v>59013833</v>
      </c>
      <c r="D34" s="95"/>
      <c r="E34" s="96">
        <v>0</v>
      </c>
      <c r="F34" s="147" t="s">
        <v>203</v>
      </c>
      <c r="G34" s="97">
        <v>0</v>
      </c>
      <c r="H34" s="88">
        <f t="shared" si="0"/>
        <v>0</v>
      </c>
      <c r="I34" s="89">
        <f>IF(G34*E34=0,0,(ROUND(H34,2)*VLOOKUP(K34,'Step 2 - Order Planner'!$C$26:$D$76,2,FALSE))/(G34*E34))</f>
        <v>0</v>
      </c>
      <c r="J34" s="89">
        <f>IF(G34*E34=0,0,((VLOOKUP(K34,'Step 2 - Order Planner'!$C$26:$D$76,2,FALSE)*(1-'Step 2 - Order Planner'!$B$20))*ROUND(H34,2))/(G34*E34))</f>
        <v>0</v>
      </c>
      <c r="K34" s="21">
        <v>59013833</v>
      </c>
      <c r="L34" s="48">
        <f>IF(F34="7 oz",5,IF(F34="9.2 oz",6,IF(F34="11.4 oz",7,0)))</f>
        <v>0</v>
      </c>
      <c r="M34" s="85">
        <f>IF(L34=0,0,VLOOKUP(K34,'Coverage Reference'!$B$4:$H$21,L34,FALSE))</f>
        <v>0</v>
      </c>
      <c r="N34" s="93">
        <f t="shared" si="1"/>
        <v>0</v>
      </c>
    </row>
    <row r="36" spans="1:14" ht="18.75" x14ac:dyDescent="0.2">
      <c r="A36" s="205" t="s">
        <v>213</v>
      </c>
      <c r="B36" s="205"/>
      <c r="C36" s="205"/>
      <c r="D36" s="205"/>
      <c r="E36" s="205"/>
      <c r="F36" s="205"/>
      <c r="G36" s="205"/>
      <c r="H36" s="205"/>
      <c r="I36" s="205"/>
      <c r="J36" s="205"/>
    </row>
    <row r="37" spans="1:14" ht="12.75" customHeight="1" x14ac:dyDescent="0.2">
      <c r="A37" s="201" t="s">
        <v>269</v>
      </c>
      <c r="B37" s="201"/>
      <c r="C37" s="201"/>
      <c r="D37" s="201"/>
      <c r="E37" s="201"/>
      <c r="F37" s="201"/>
      <c r="G37" s="201"/>
      <c r="H37" s="201"/>
      <c r="I37" s="201"/>
      <c r="J37" s="201"/>
    </row>
    <row r="38" spans="1:14" x14ac:dyDescent="0.2">
      <c r="A38" s="201"/>
      <c r="B38" s="201"/>
      <c r="C38" s="201"/>
      <c r="D38" s="201"/>
      <c r="E38" s="201"/>
      <c r="F38" s="201"/>
      <c r="G38" s="201"/>
      <c r="H38" s="201"/>
      <c r="I38" s="201"/>
      <c r="J38" s="201"/>
    </row>
    <row r="39" spans="1:14" x14ac:dyDescent="0.2">
      <c r="A39" s="201"/>
      <c r="B39" s="201"/>
      <c r="C39" s="201"/>
      <c r="D39" s="201"/>
      <c r="E39" s="201"/>
      <c r="F39" s="201"/>
      <c r="G39" s="201"/>
      <c r="H39" s="201"/>
      <c r="I39" s="201"/>
      <c r="J39" s="201"/>
    </row>
    <row r="40" spans="1:14" x14ac:dyDescent="0.2">
      <c r="A40" s="201"/>
      <c r="B40" s="201"/>
      <c r="C40" s="201"/>
      <c r="D40" s="201"/>
      <c r="E40" s="201"/>
      <c r="F40" s="201"/>
      <c r="G40" s="201"/>
      <c r="H40" s="201"/>
      <c r="I40" s="201"/>
      <c r="J40" s="201"/>
    </row>
    <row r="41" spans="1:14" x14ac:dyDescent="0.2">
      <c r="A41" s="201"/>
      <c r="B41" s="201"/>
      <c r="C41" s="201"/>
      <c r="D41" s="201"/>
      <c r="E41" s="201"/>
      <c r="F41" s="201"/>
      <c r="G41" s="201"/>
      <c r="H41" s="201"/>
      <c r="I41" s="201"/>
      <c r="J41" s="201"/>
    </row>
    <row r="42" spans="1:14" x14ac:dyDescent="0.2">
      <c r="A42" s="201"/>
      <c r="B42" s="201"/>
      <c r="C42" s="201"/>
      <c r="D42" s="201"/>
      <c r="E42" s="201"/>
      <c r="F42" s="201"/>
      <c r="G42" s="201"/>
      <c r="H42" s="201"/>
      <c r="I42" s="201"/>
      <c r="J42" s="201"/>
    </row>
    <row r="43" spans="1:14" x14ac:dyDescent="0.2">
      <c r="A43" s="201"/>
      <c r="B43" s="201"/>
      <c r="C43" s="201"/>
      <c r="D43" s="201"/>
      <c r="E43" s="201"/>
      <c r="F43" s="201"/>
      <c r="G43" s="201"/>
      <c r="H43" s="201"/>
      <c r="I43" s="201"/>
      <c r="J43" s="201"/>
    </row>
    <row r="44" spans="1:14" x14ac:dyDescent="0.2">
      <c r="A44" s="201"/>
      <c r="B44" s="201"/>
      <c r="C44" s="201"/>
      <c r="D44" s="201"/>
      <c r="E44" s="201"/>
      <c r="F44" s="201"/>
      <c r="G44" s="201"/>
      <c r="H44" s="201"/>
      <c r="I44" s="201"/>
      <c r="J44" s="201"/>
    </row>
    <row r="45" spans="1:14" x14ac:dyDescent="0.2">
      <c r="A45" s="201"/>
      <c r="B45" s="201"/>
      <c r="C45" s="201"/>
      <c r="D45" s="201"/>
      <c r="E45" s="201"/>
      <c r="F45" s="201"/>
      <c r="G45" s="201"/>
      <c r="H45" s="201"/>
      <c r="I45" s="201"/>
      <c r="J45" s="201"/>
    </row>
    <row r="46" spans="1:14" x14ac:dyDescent="0.2">
      <c r="A46" s="201"/>
      <c r="B46" s="201"/>
      <c r="C46" s="201"/>
      <c r="D46" s="201"/>
      <c r="E46" s="201"/>
      <c r="F46" s="201"/>
      <c r="G46" s="201"/>
      <c r="H46" s="201"/>
      <c r="I46" s="201"/>
      <c r="J46" s="201"/>
    </row>
  </sheetData>
  <sheetProtection algorithmName="SHA-512" hashValue="zUEjkwUBUsyhLBEyHmrDRD2PqXpUY7z78l+xEeQMts2bpMoRQ3ouw21X5Re1zBNu5NpvNsngEYsUK/L8YZIjKg==" saltValue="R5ory8d4N9A6z1RtEBqM0w==" spinCount="100000" sheet="1" objects="1" scenarios="1"/>
  <protectedRanges>
    <protectedRange sqref="E20:F34" name="Range2"/>
  </protectedRanges>
  <mergeCells count="18">
    <mergeCell ref="D18:D19"/>
    <mergeCell ref="A36:J36"/>
    <mergeCell ref="A29:A30"/>
    <mergeCell ref="C18:C19"/>
    <mergeCell ref="A17:J17"/>
    <mergeCell ref="J18:J19"/>
    <mergeCell ref="A37:J46"/>
    <mergeCell ref="I18:I19"/>
    <mergeCell ref="A33:A34"/>
    <mergeCell ref="G18:G19"/>
    <mergeCell ref="H18:H19"/>
    <mergeCell ref="A31:A32"/>
    <mergeCell ref="A18:A19"/>
    <mergeCell ref="B18:B19"/>
    <mergeCell ref="E18:E19"/>
    <mergeCell ref="F18:F19"/>
    <mergeCell ref="A24:A25"/>
    <mergeCell ref="A26:A27"/>
  </mergeCells>
  <conditionalFormatting sqref="F20:F34">
    <cfRule type="cellIs" dxfId="17" priority="1" operator="equal">
      <formula>"Select Rate"</formula>
    </cfRule>
  </conditionalFormatting>
  <dataValidations count="3">
    <dataValidation type="decimal" allowBlank="1" showInputMessage="1" showErrorMessage="1" errorTitle="Please Select" error="Please select a number of applications" sqref="G20:G34" xr:uid="{B595C0DC-2963-4184-83A8-05E232D9044A}">
      <formula1>0</formula1>
      <formula2>10000</formula2>
    </dataValidation>
    <dataValidation type="decimal" allowBlank="1" showInputMessage="1" showErrorMessage="1" errorTitle="Please Select" error="Please select a number of acres" sqref="E20:E34" xr:uid="{E2134AF8-4347-4EB4-8CD8-F91EA5908A70}">
      <formula1>0</formula1>
      <formula2>10000</formula2>
    </dataValidation>
    <dataValidation type="list" allowBlank="1" showInputMessage="1" showErrorMessage="1" sqref="D20:D34" xr:uid="{248EC4E1-1D33-4E91-92A0-30F89675046E}">
      <formula1>$O$26:$O$27</formula1>
    </dataValidation>
  </dataValidations>
  <pageMargins left="0.7" right="0.7" top="0.75" bottom="0.75" header="0.3" footer="0.3"/>
  <pageSetup scale="46" orientation="portrait" r:id="rId1"/>
  <headerFooter>
    <oddFooter>&amp;C_x000D_&amp;1#&amp;"Arial"&amp;10&amp;K000000 Internal</oddFooter>
  </headerFooter>
  <drawing r:id="rId2"/>
  <extLst>
    <ext xmlns:x14="http://schemas.microsoft.com/office/spreadsheetml/2009/9/main" uri="{CCE6A557-97BC-4b89-ADB6-D9C93CAAB3DF}">
      <x14:dataValidations xmlns:xm="http://schemas.microsoft.com/office/excel/2006/main" count="9">
        <x14:dataValidation type="list" allowBlank="1" showInputMessage="1" showErrorMessage="1" errorTitle="Please Select" error="Please select Low, Mid or High" xr:uid="{AC5F756C-E489-456C-B5B9-BF7B044439D6}">
          <x14:formula1>
            <xm:f>'Coverage Reference'!$B$35:$B$39</xm:f>
          </x14:formula1>
          <xm:sqref>F29:F30</xm:sqref>
        </x14:dataValidation>
        <x14:dataValidation type="list" allowBlank="1" showInputMessage="1" showErrorMessage="1" errorTitle="Please Select" error="Please select Low, Mid or High" xr:uid="{3703C5CF-7F16-4D4C-885D-5D3B55910F5B}">
          <x14:formula1>
            <xm:f>'Coverage Reference'!$B$34</xm:f>
          </x14:formula1>
          <xm:sqref>F31:F32</xm:sqref>
        </x14:dataValidation>
        <x14:dataValidation type="list" allowBlank="1" showInputMessage="1" showErrorMessage="1" errorTitle="Please Select" error="Please select Low, Mid or High" xr:uid="{85497C3A-557A-4C4B-A5D1-5DD5DA5F3990}">
          <x14:formula1>
            <xm:f>'Coverage Reference'!$B$26</xm:f>
          </x14:formula1>
          <xm:sqref>F22</xm:sqref>
        </x14:dataValidation>
        <x14:dataValidation type="list" allowBlank="1" showInputMessage="1" showErrorMessage="1" errorTitle="Please Select" error="Please select Low, Mid or High" xr:uid="{247C13FA-D9A3-49AA-A0FC-48004AC29D2F}">
          <x14:formula1>
            <xm:f>'Coverage Reference'!$B$31</xm:f>
          </x14:formula1>
          <xm:sqref>F24:F25</xm:sqref>
        </x14:dataValidation>
        <x14:dataValidation type="list" allowBlank="1" showInputMessage="1" showErrorMessage="1" errorTitle="Please Select" error="Please select Low, Mid or High" xr:uid="{2603EC71-965F-48DC-B36A-CB0E7F3AEE43}">
          <x14:formula1>
            <xm:f>'Coverage Reference'!$B$32</xm:f>
          </x14:formula1>
          <xm:sqref>F26:F27</xm:sqref>
        </x14:dataValidation>
        <x14:dataValidation type="list" allowBlank="1" showInputMessage="1" showErrorMessage="1" errorTitle="Please Select" error="Please select Low, Mid or High" xr:uid="{C809CCD4-ABA4-4D7C-BCE5-AA552B29BEED}">
          <x14:formula1>
            <xm:f>'Coverage Reference'!$B$33</xm:f>
          </x14:formula1>
          <xm:sqref>F28</xm:sqref>
        </x14:dataValidation>
        <x14:dataValidation type="list" allowBlank="1" showInputMessage="1" showErrorMessage="1" errorTitle="Please Select" error="Please select Low, Mid or High" xr:uid="{6378984A-89CA-4F71-B3A8-C16BF2B1D9E8}">
          <x14:formula1>
            <xm:f>'Coverage Reference'!$B$40:$B$43</xm:f>
          </x14:formula1>
          <xm:sqref>F33:F34</xm:sqref>
        </x14:dataValidation>
        <x14:dataValidation type="list" allowBlank="1" showInputMessage="1" showErrorMessage="1" errorTitle="Please Select" error="Please select Low, Mid or High" xr:uid="{A6EC2043-34EE-48E1-8785-CC681743EF8B}">
          <x14:formula1>
            <xm:f>'Coverage Reference'!$B$27:$B$30</xm:f>
          </x14:formula1>
          <xm:sqref>F23</xm:sqref>
        </x14:dataValidation>
        <x14:dataValidation type="list" allowBlank="1" showInputMessage="1" showErrorMessage="1" errorTitle="Please Select" error="Please select Low, Mid or High" xr:uid="{B1681B4B-7D6D-430F-8CED-5AC5517547C6}">
          <x14:formula1>
            <xm:f>'Coverage Reference'!$B$25</xm:f>
          </x14:formula1>
          <xm:sqref>F20:F21</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tint="0.39997558519241921"/>
    <pageSetUpPr fitToPage="1"/>
  </sheetPr>
  <dimension ref="A3:Q92"/>
  <sheetViews>
    <sheetView showGridLines="0" zoomScaleNormal="100" workbookViewId="0">
      <selection activeCell="H23" sqref="H23:I23"/>
    </sheetView>
  </sheetViews>
  <sheetFormatPr defaultColWidth="8.85546875" defaultRowHeight="12.75" x14ac:dyDescent="0.2"/>
  <cols>
    <col min="1" max="1" width="46.28515625" customWidth="1"/>
    <col min="2" max="2" width="15.7109375" customWidth="1"/>
    <col min="3" max="3" width="14.5703125" customWidth="1"/>
    <col min="4" max="5" width="15.42578125" customWidth="1"/>
    <col min="6" max="9" width="15.7109375" customWidth="1"/>
    <col min="10" max="12" width="6.7109375" hidden="1" customWidth="1"/>
    <col min="13" max="13" width="9.7109375" hidden="1" customWidth="1"/>
    <col min="14" max="14" width="12.28515625" hidden="1" customWidth="1"/>
    <col min="15" max="15" width="2" customWidth="1"/>
    <col min="16" max="16" width="31.7109375" bestFit="1" customWidth="1"/>
    <col min="17" max="17" width="14.28515625" bestFit="1" customWidth="1"/>
    <col min="18" max="18" width="12.85546875" bestFit="1" customWidth="1"/>
    <col min="19" max="19" width="11.140625" customWidth="1"/>
  </cols>
  <sheetData>
    <row r="3" spans="1:17" ht="15.75" customHeight="1" x14ac:dyDescent="0.2"/>
    <row r="5" spans="1:17" ht="14.25" customHeight="1" x14ac:dyDescent="0.2"/>
    <row r="6" spans="1:17" ht="16.149999999999999" customHeight="1" x14ac:dyDescent="0.2"/>
    <row r="7" spans="1:17" ht="25.5" customHeight="1" x14ac:dyDescent="0.2">
      <c r="A7" s="253"/>
      <c r="B7" s="253"/>
      <c r="C7" s="253"/>
      <c r="D7" s="253"/>
      <c r="E7" s="253"/>
      <c r="F7" s="253"/>
      <c r="G7" s="253"/>
      <c r="H7" s="253"/>
      <c r="I7" s="253"/>
    </row>
    <row r="8" spans="1:17" ht="18" customHeight="1" x14ac:dyDescent="0.25">
      <c r="A8" s="235"/>
      <c r="B8" s="235"/>
      <c r="C8" s="235"/>
      <c r="D8" s="235"/>
      <c r="E8" s="235"/>
      <c r="F8" s="235"/>
      <c r="G8" s="235"/>
      <c r="H8" s="235"/>
      <c r="I8" s="235"/>
    </row>
    <row r="9" spans="1:17" ht="18" x14ac:dyDescent="0.25">
      <c r="A9" s="236"/>
      <c r="B9" s="236"/>
      <c r="C9" s="236"/>
      <c r="D9" s="236"/>
      <c r="E9" s="236"/>
      <c r="F9" s="236"/>
      <c r="G9" s="236"/>
      <c r="H9" s="236"/>
      <c r="I9" s="236"/>
    </row>
    <row r="10" spans="1:17" ht="15.75" customHeight="1" x14ac:dyDescent="0.2"/>
    <row r="12" spans="1:17" x14ac:dyDescent="0.2">
      <c r="K12" s="56"/>
    </row>
    <row r="15" spans="1:17" ht="15.75" x14ac:dyDescent="0.2">
      <c r="P15" s="254" t="s">
        <v>218</v>
      </c>
      <c r="Q15" s="254"/>
    </row>
    <row r="16" spans="1:17" ht="16.5" customHeight="1" x14ac:dyDescent="0.2">
      <c r="A16" s="237" t="s">
        <v>73</v>
      </c>
      <c r="B16" s="238"/>
      <c r="C16" s="238"/>
      <c r="D16" s="238"/>
      <c r="E16" s="238"/>
      <c r="F16" s="238"/>
      <c r="G16" s="238"/>
      <c r="H16" s="238"/>
      <c r="I16" s="239"/>
      <c r="K16" s="56"/>
      <c r="P16" s="255" t="str">
        <f>IF('Range Reference'!S18=0,"Buy 3 fungicide brands to qualify",IF('Range Reference'!S18=1,"Buy 2 more fungicide brands to qualify",IF('Range Reference'!S18=2,"Buy 1 more fungicide brand to qualify","Qualified")))</f>
        <v>Buy 3 fungicide brands to qualify</v>
      </c>
      <c r="Q16" s="255"/>
    </row>
    <row r="17" spans="1:17" ht="16.5" customHeight="1" x14ac:dyDescent="0.25">
      <c r="A17" s="144" t="s">
        <v>216</v>
      </c>
      <c r="B17" s="242" t="str">
        <f>IF(AND(G41&gt;=3000,'Range Reference'!Q18&gt;=1),"October Rebate Locked",IF(AND(J41&gt;=3000,'Range Reference'!S18&gt;=1),"Nov-Dec Rebate Locked","Rebate Level Not Achieved"))</f>
        <v>Rebate Level Not Achieved</v>
      </c>
      <c r="C17" s="242"/>
      <c r="D17" s="245" t="s">
        <v>214</v>
      </c>
      <c r="E17" s="245"/>
      <c r="F17" s="245"/>
      <c r="G17" s="245"/>
      <c r="H17" s="240">
        <f>G41+I41</f>
        <v>0</v>
      </c>
      <c r="I17" s="241"/>
      <c r="K17" s="56"/>
      <c r="P17" s="255"/>
      <c r="Q17" s="255"/>
    </row>
    <row r="18" spans="1:17" ht="16.5" customHeight="1" x14ac:dyDescent="0.2">
      <c r="A18" s="210" t="s">
        <v>106</v>
      </c>
      <c r="B18" s="212" t="str">
        <f>IF(AND(H17&gt;=3000,'Range Reference'!S18&gt;=3),"Design Your Own Program Rebate","Need to buy "&amp;3-'Range Reference'!S18&amp;" More Brand(s)")</f>
        <v>Need to buy 3 More Brand(s)</v>
      </c>
      <c r="C18" s="212"/>
      <c r="D18" s="245" t="s">
        <v>211</v>
      </c>
      <c r="E18" s="245"/>
      <c r="F18" s="245"/>
      <c r="G18" s="245"/>
      <c r="H18" s="240">
        <f>IF(AND(B20=0,B21&gt;0),H17*B21,(B20*H17))</f>
        <v>0</v>
      </c>
      <c r="I18" s="241"/>
      <c r="P18" s="256" t="s">
        <v>217</v>
      </c>
      <c r="Q18" s="254" t="s">
        <v>185</v>
      </c>
    </row>
    <row r="19" spans="1:17" ht="16.5" customHeight="1" x14ac:dyDescent="0.2">
      <c r="A19" s="211"/>
      <c r="B19" s="212"/>
      <c r="C19" s="212"/>
      <c r="D19" s="245" t="s">
        <v>241</v>
      </c>
      <c r="E19" s="245"/>
      <c r="F19" s="245"/>
      <c r="G19" s="245"/>
      <c r="H19" s="240">
        <f>G78</f>
        <v>0</v>
      </c>
      <c r="I19" s="241"/>
      <c r="P19" s="256"/>
      <c r="Q19" s="254"/>
    </row>
    <row r="20" spans="1:17" ht="16.5" customHeight="1" x14ac:dyDescent="0.2">
      <c r="A20" s="145" t="s">
        <v>211</v>
      </c>
      <c r="B20" s="209">
        <f>IF(AND('Range Reference'!S18&lt;3,G41&gt;=3000),0.08,IF(AND('Range Reference'!S18&lt;3,I41&gt;=3000),0.03,'Range Reference'!G16))</f>
        <v>0</v>
      </c>
      <c r="C20" s="209"/>
      <c r="D20" s="245" t="s">
        <v>242</v>
      </c>
      <c r="E20" s="245"/>
      <c r="F20" s="245"/>
      <c r="G20" s="245"/>
      <c r="H20" s="240">
        <f>(H19*B21)</f>
        <v>0</v>
      </c>
      <c r="I20" s="241"/>
      <c r="P20" s="257" t="str">
        <f>IF(P16&lt;&gt;"Qualified","",HLOOKUP(H17,'Range Reference'!$H$10:$H$16,7,FALSE))</f>
        <v/>
      </c>
      <c r="Q20" s="258" t="str">
        <f>IF(ISNA(IF(P20=0,"Max",VLOOKUP(P20,'Range Reference'!H11:I15,2,FALSE)))=TRUE,"",IF(P20=0,"Max",VLOOKUP(P20,'Range Reference'!H11:I15,2,FALSE)))</f>
        <v/>
      </c>
    </row>
    <row r="21" spans="1:17" ht="16.5" customHeight="1" x14ac:dyDescent="0.2">
      <c r="A21" s="145" t="s">
        <v>212</v>
      </c>
      <c r="B21" s="209">
        <f>IF(AND('Range Reference'!S18&gt;=3,H17&gt;=20000),0.12,'Range Reference'!G6)</f>
        <v>0</v>
      </c>
      <c r="C21" s="209"/>
      <c r="D21" s="246" t="s">
        <v>74</v>
      </c>
      <c r="E21" s="246"/>
      <c r="F21" s="246"/>
      <c r="G21" s="246"/>
      <c r="H21" s="243">
        <f>H17+H19</f>
        <v>0</v>
      </c>
      <c r="I21" s="244"/>
      <c r="P21" s="257"/>
      <c r="Q21" s="258"/>
    </row>
    <row r="22" spans="1:17" ht="22.5" customHeight="1" x14ac:dyDescent="0.2">
      <c r="A22" s="146" t="s">
        <v>265</v>
      </c>
      <c r="B22" s="176">
        <f>IF((F26+H26)&gt;=1.5,(G26+I26)*Q29,0)</f>
        <v>0</v>
      </c>
      <c r="C22" s="177">
        <f>Q29</f>
        <v>0</v>
      </c>
      <c r="D22" s="221" t="s">
        <v>249</v>
      </c>
      <c r="E22" s="221"/>
      <c r="F22" s="221"/>
      <c r="G22" s="221"/>
      <c r="H22" s="222">
        <f>IF(H21=0,0,H23/H21)</f>
        <v>0</v>
      </c>
      <c r="I22" s="223"/>
      <c r="P22" s="256" t="s">
        <v>268</v>
      </c>
      <c r="Q22" s="254" t="s">
        <v>185</v>
      </c>
    </row>
    <row r="23" spans="1:17" ht="22.5" customHeight="1" x14ac:dyDescent="0.2">
      <c r="A23" s="173" t="s">
        <v>274</v>
      </c>
      <c r="B23" s="176">
        <f>IF(F65&gt;=1,(G65*Q33),0)</f>
        <v>0</v>
      </c>
      <c r="C23" s="177">
        <f>Q33</f>
        <v>0</v>
      </c>
      <c r="D23" s="218" t="s">
        <v>75</v>
      </c>
      <c r="E23" s="218"/>
      <c r="F23" s="218"/>
      <c r="G23" s="218"/>
      <c r="H23" s="219">
        <f>(H18+H20)+(B22+B23)</f>
        <v>0</v>
      </c>
      <c r="I23" s="220"/>
      <c r="P23" s="256"/>
      <c r="Q23" s="254"/>
    </row>
    <row r="24" spans="1:17" ht="3" customHeight="1" x14ac:dyDescent="0.2"/>
    <row r="25" spans="1:17" ht="33.75" customHeight="1" thickBot="1" x14ac:dyDescent="0.25">
      <c r="A25" s="136" t="s">
        <v>121</v>
      </c>
      <c r="B25" s="136" t="s">
        <v>0</v>
      </c>
      <c r="C25" s="136" t="s">
        <v>69</v>
      </c>
      <c r="D25" s="137" t="s">
        <v>76</v>
      </c>
      <c r="E25" s="137" t="s">
        <v>202</v>
      </c>
      <c r="F25" s="137" t="s">
        <v>49</v>
      </c>
      <c r="G25" s="137" t="s">
        <v>50</v>
      </c>
      <c r="H25" s="137" t="s">
        <v>47</v>
      </c>
      <c r="I25" s="137" t="s">
        <v>48</v>
      </c>
      <c r="J25" s="42" t="s">
        <v>31</v>
      </c>
      <c r="K25" s="42" t="s">
        <v>55</v>
      </c>
      <c r="L25" s="42" t="s">
        <v>32</v>
      </c>
      <c r="M25" s="42" t="s">
        <v>172</v>
      </c>
      <c r="N25" s="42" t="s">
        <v>173</v>
      </c>
      <c r="P25" s="171">
        <f>IF(Q20="Max",0,HLOOKUP(H19,'Range Reference'!$H$19:$H$23,5,FALSE))</f>
        <v>3000</v>
      </c>
      <c r="Q25" s="172">
        <f>IF(P25=0,"Max",VLOOKUP(P25,'Range Reference'!H20:I22,2,FALSE))</f>
        <v>0.04</v>
      </c>
    </row>
    <row r="26" spans="1:17" ht="12.75" customHeight="1" x14ac:dyDescent="0.2">
      <c r="A26" s="43" t="str">
        <f>VLOOKUP($C26,'Article Reference'!$A$3:$C$40,2,FALSE)</f>
        <v>Aramax™ Intrinsic® brand Fungicide</v>
      </c>
      <c r="B26" s="44" t="str">
        <f>VLOOKUP($C26,'Article Reference'!$A$3:$C$40,3,FALSE)</f>
        <v>2 x 2.5 gal</v>
      </c>
      <c r="C26" s="48">
        <v>59026671</v>
      </c>
      <c r="D26" s="45">
        <f>VLOOKUP($C26,'Article Reference'!$A$3:$D$17,4,FALSE)</f>
        <v>5215</v>
      </c>
      <c r="E26" s="92">
        <f>CEILING(ROUNDUP(IF(ISNA(VLOOKUP(C26,'Step 1 - Fungicide Planner'!$K$20:$N$34,4,FALSE))=TRUE,"",VLOOKUP(C26,'Step 1 - Fungicide Planner'!$K$20:$N$34,4,FALSE)),M26),N26)</f>
        <v>0</v>
      </c>
      <c r="F26" s="112">
        <v>0</v>
      </c>
      <c r="G26" s="46">
        <f>D26*F26</f>
        <v>0</v>
      </c>
      <c r="H26" s="112">
        <v>0</v>
      </c>
      <c r="I26" s="46">
        <f t="shared" ref="I26:I27" si="0">H26*D26</f>
        <v>0</v>
      </c>
      <c r="J26" s="47">
        <f>IF(ISNA(VLOOKUP($C26,'Coverage Reference'!$B$4:$H$21,4,FALSE))=TRUE,0,VLOOKUP($C26,'Coverage Reference'!$B$4:$H$21,4,FALSE)*(F26+H26))</f>
        <v>0</v>
      </c>
      <c r="K26" s="47">
        <f>IF(ISNA(VLOOKUP($C26,'Coverage Reference'!$B$4:$H$21,5,FALSE))=TRUE,0,VLOOKUP($C26,'Coverage Reference'!$B$4:$H$21,5,FALSE)*(F26+H26))</f>
        <v>0</v>
      </c>
      <c r="L26" s="47">
        <f>IF(ISNA(VLOOKUP($C26,'Coverage Reference'!$B$4:$H$21,6,FALSE))=TRUE,0,VLOOKUP($C26,'Coverage Reference'!$B$4:$H$21,6,FALSE)*(F26+H26))</f>
        <v>0</v>
      </c>
      <c r="M26" s="110">
        <v>2</v>
      </c>
      <c r="N26" s="110">
        <v>0.5</v>
      </c>
      <c r="P26" s="259" t="s">
        <v>260</v>
      </c>
      <c r="Q26" s="249" t="str">
        <f>IF(B22&gt;0,"Achieved","Buy 3 or more bottles")</f>
        <v>Buy 3 or more bottles</v>
      </c>
    </row>
    <row r="27" spans="1:17" x14ac:dyDescent="0.2">
      <c r="A27" s="43" t="str">
        <f>VLOOKUP($C27,'Article Reference'!$A$3:$C$40,2,FALSE)</f>
        <v>Aramax™ Intrinsic brand fungicide</v>
      </c>
      <c r="B27" s="44" t="str">
        <f>VLOOKUP($C27,'Article Reference'!$A$3:$C$40,3,FALSE)</f>
        <v>4 x 43.5 fl oz</v>
      </c>
      <c r="C27" s="48">
        <v>59032979</v>
      </c>
      <c r="D27" s="45">
        <f>VLOOKUP($C27,'Article Reference'!$A$3:$D$17,4,FALSE)</f>
        <v>1479</v>
      </c>
      <c r="E27" s="92">
        <f>CEILING(ROUNDUP(IF(ISNA(VLOOKUP(C27,'Step 1 - Fungicide Planner'!$K$20:$N$34,4,FALSE))=TRUE,"",VLOOKUP(C27,'Step 1 - Fungicide Planner'!$K$20:$N$34,4,FALSE)),M27),N27)</f>
        <v>0</v>
      </c>
      <c r="F27" s="112">
        <v>0</v>
      </c>
      <c r="G27" s="46">
        <f>D27*F27</f>
        <v>0</v>
      </c>
      <c r="H27" s="112">
        <v>0</v>
      </c>
      <c r="I27" s="46">
        <f t="shared" si="0"/>
        <v>0</v>
      </c>
      <c r="J27" s="47">
        <f>IF(ISNA(VLOOKUP($C27,'Coverage Reference'!$B$4:$H$21,4,FALSE))=TRUE,0,VLOOKUP($C27,'Coverage Reference'!$B$4:$H$21,4,FALSE)*(F27+H27))</f>
        <v>0</v>
      </c>
      <c r="K27" s="47">
        <f>IF(ISNA(VLOOKUP($C27,'Coverage Reference'!$B$4:$H$21,5,FALSE))=TRUE,0,VLOOKUP($C27,'Coverage Reference'!$B$4:$H$21,5,FALSE)*(F27+H27))</f>
        <v>0</v>
      </c>
      <c r="L27" s="47">
        <f>IF(ISNA(VLOOKUP($C27,'Coverage Reference'!$B$4:$H$21,6,FALSE))=TRUE,0,VLOOKUP($C27,'Coverage Reference'!$B$4:$H$21,6,FALSE)*(F27+H27))</f>
        <v>0</v>
      </c>
      <c r="M27" s="110">
        <v>2</v>
      </c>
      <c r="N27" s="110">
        <v>0.25</v>
      </c>
      <c r="P27" s="260"/>
      <c r="Q27" s="261"/>
    </row>
    <row r="28" spans="1:17" ht="12.75" customHeight="1" thickBot="1" x14ac:dyDescent="0.25">
      <c r="A28" s="43" t="str">
        <f>VLOOKUP($C28,'Article Reference'!$A$3:$C$40,2,FALSE)</f>
        <v>Emerald® fungicide</v>
      </c>
      <c r="B28" s="44" t="str">
        <f>VLOOKUP($C28,'Article Reference'!$A$3:$C$40,3,FALSE)</f>
        <v>10 x 0.49 lb</v>
      </c>
      <c r="C28" s="48">
        <v>59021463</v>
      </c>
      <c r="D28" s="45">
        <f>VLOOKUP($C28,'Article Reference'!$A$3:$D$17,4,FALSE)</f>
        <v>1239.7</v>
      </c>
      <c r="E28" s="92">
        <f>CEILING(ROUNDUP(IF(ISNA(VLOOKUP(C28,'Step 1 - Fungicide Planner'!$K$20:$N$34,4,FALSE))=TRUE,"",VLOOKUP(C28,'Step 1 - Fungicide Planner'!$K$20:$N$34,4,FALSE)),M28),N28)</f>
        <v>0</v>
      </c>
      <c r="F28" s="112">
        <v>0</v>
      </c>
      <c r="G28" s="46">
        <f t="shared" ref="G28:G39" si="1">D28*F28</f>
        <v>0</v>
      </c>
      <c r="H28" s="112">
        <v>0</v>
      </c>
      <c r="I28" s="46">
        <f t="shared" ref="I28:I39" si="2">H28*D28</f>
        <v>0</v>
      </c>
      <c r="J28" s="47">
        <f>IF(ISNA(VLOOKUP($C28,'Coverage Reference'!$B$4:$H$21,4,FALSE))=TRUE,0,VLOOKUP($C28,'Coverage Reference'!$B$4:$H$21,4,FALSE)*(F28+H28))</f>
        <v>0</v>
      </c>
      <c r="K28" s="47">
        <f>IF(ISNA(VLOOKUP($C28,'Coverage Reference'!$B$4:$H$21,5,FALSE))=TRUE,0,VLOOKUP($C28,'Coverage Reference'!$B$4:$H$21,5,FALSE)*(F28+H28))</f>
        <v>0</v>
      </c>
      <c r="L28" s="47">
        <f>IF(ISNA(VLOOKUP($C28,'Coverage Reference'!$B$4:$H$21,6,FALSE))=TRUE,0,VLOOKUP($C28,'Coverage Reference'!$B$4:$H$21,6,FALSE)*(F28+H28))</f>
        <v>0</v>
      </c>
      <c r="M28" s="110">
        <v>2</v>
      </c>
      <c r="N28" s="110">
        <v>1</v>
      </c>
      <c r="P28" s="260"/>
      <c r="Q28" s="250"/>
    </row>
    <row r="29" spans="1:17" ht="12.75" customHeight="1" x14ac:dyDescent="0.2">
      <c r="A29" s="43" t="str">
        <f>VLOOKUP($C29,'Article Reference'!$A$3:$C$40,2,FALSE)</f>
        <v>Encartis® fungicide</v>
      </c>
      <c r="B29" s="44" t="str">
        <f>VLOOKUP($C29,'Article Reference'!$A$3:$C$40,3,FALSE)</f>
        <v>2 x 2.5 gal</v>
      </c>
      <c r="C29" s="48">
        <v>59014003</v>
      </c>
      <c r="D29" s="45">
        <f>VLOOKUP($C29,'Article Reference'!$A$3:$D$17,4,FALSE)</f>
        <v>680</v>
      </c>
      <c r="E29" s="92">
        <f>CEILING(ROUNDUP(IF(ISNA(VLOOKUP(C29,'Step 1 - Fungicide Planner'!$K$20:$N$34,4,FALSE))=TRUE,"",VLOOKUP(C29,'Step 1 - Fungicide Planner'!$K$20:$N$34,4,FALSE)),M29),N29)</f>
        <v>0</v>
      </c>
      <c r="F29" s="112">
        <v>0</v>
      </c>
      <c r="G29" s="46">
        <f t="shared" si="1"/>
        <v>0</v>
      </c>
      <c r="H29" s="112">
        <v>0</v>
      </c>
      <c r="I29" s="46">
        <f t="shared" si="2"/>
        <v>0</v>
      </c>
      <c r="J29" s="47">
        <f>IF(ISNA(VLOOKUP($C29,'Coverage Reference'!$B$4:$H$21,4,FALSE))=TRUE,0,VLOOKUP($C29,'Coverage Reference'!$B$4:$H$21,4,FALSE)*(F29+H29))</f>
        <v>0</v>
      </c>
      <c r="K29" s="47">
        <f>IF(ISNA(VLOOKUP($C29,'Coverage Reference'!$B$4:$H$21,5,FALSE))=TRUE,0,VLOOKUP($C29,'Coverage Reference'!$B$4:$H$21,5,FALSE)*(F29+H29))</f>
        <v>0</v>
      </c>
      <c r="L29" s="47">
        <f>IF(ISNA(VLOOKUP($C29,'Coverage Reference'!$B$4:$H$21,6,FALSE))=TRUE,0,VLOOKUP($C29,'Coverage Reference'!$B$4:$H$21,6,FALSE)*(F29+H29))</f>
        <v>0</v>
      </c>
      <c r="M29" s="110">
        <v>2</v>
      </c>
      <c r="N29" s="110">
        <v>0.5</v>
      </c>
      <c r="P29" s="206">
        <f>'Range Reference'!P22</f>
        <v>0</v>
      </c>
      <c r="Q29" s="251">
        <f>IF(P29&gt;=3,0.09,0)</f>
        <v>0</v>
      </c>
    </row>
    <row r="30" spans="1:17" ht="15" customHeight="1" thickBot="1" x14ac:dyDescent="0.25">
      <c r="A30" s="43" t="str">
        <f>VLOOKUP($C30,'Article Reference'!$A$3:$C$40,2,FALSE)</f>
        <v>Honor® Intrinsic® brand fungicide</v>
      </c>
      <c r="B30" s="44" t="str">
        <f>VLOOKUP($C30,'Article Reference'!$A$3:$C$40,3,FALSE)</f>
        <v>6 x 3 lb</v>
      </c>
      <c r="C30" s="48">
        <v>59012350</v>
      </c>
      <c r="D30" s="45">
        <f>VLOOKUP($C30,'Article Reference'!$A$3:$D$17,4,FALSE)</f>
        <v>3528</v>
      </c>
      <c r="E30" s="92">
        <f>CEILING(ROUNDUP(IF(ISNA(VLOOKUP(C30,'Step 1 - Fungicide Planner'!$K$20:$N$34,4,FALSE))=TRUE,"",VLOOKUP(C30,'Step 1 - Fungicide Planner'!$K$20:$N$34,4,FALSE)),M30),N30)</f>
        <v>0</v>
      </c>
      <c r="F30" s="112">
        <v>0</v>
      </c>
      <c r="G30" s="46">
        <f t="shared" si="1"/>
        <v>0</v>
      </c>
      <c r="H30" s="112">
        <v>0</v>
      </c>
      <c r="I30" s="46">
        <f t="shared" si="2"/>
        <v>0</v>
      </c>
      <c r="J30" s="47">
        <f>IF(ISNA(VLOOKUP($C30,'Coverage Reference'!$B$4:$H$21,4,FALSE))=TRUE,0,VLOOKUP($C30,'Coverage Reference'!$B$4:$H$21,4,FALSE)*(F30+H30))</f>
        <v>0</v>
      </c>
      <c r="K30" s="47">
        <f>IF(ISNA(VLOOKUP($C30,'Coverage Reference'!$B$4:$H$21,5,FALSE))=TRUE,0,VLOOKUP($C30,'Coverage Reference'!$B$4:$H$21,5,FALSE)*(F30+H30))</f>
        <v>0</v>
      </c>
      <c r="L30" s="47">
        <f>IF(ISNA(VLOOKUP($C30,'Coverage Reference'!$B$4:$H$21,6,FALSE))=TRUE,0,VLOOKUP($C30,'Coverage Reference'!$B$4:$H$21,6,FALSE)*(F30+H30))</f>
        <v>0</v>
      </c>
      <c r="M30" s="110">
        <v>2</v>
      </c>
      <c r="N30" s="110">
        <f>1/6</f>
        <v>0.16666666666666666</v>
      </c>
      <c r="P30" s="207"/>
      <c r="Q30" s="252"/>
    </row>
    <row r="31" spans="1:17" x14ac:dyDescent="0.2">
      <c r="A31" s="43" t="str">
        <f>VLOOKUP($C31,'Article Reference'!$A$3:$C$40,2,FALSE)</f>
        <v>Honor® Intrinsic® brand fungicide</v>
      </c>
      <c r="B31" s="44" t="str">
        <f>VLOOKUP($C31,'Article Reference'!$A$3:$C$40,3,FALSE)</f>
        <v>1 x 36 lb</v>
      </c>
      <c r="C31" s="48">
        <v>59012885</v>
      </c>
      <c r="D31" s="45">
        <f>VLOOKUP($C31,'Article Reference'!$A$3:$D$17,4,FALSE)</f>
        <v>5112</v>
      </c>
      <c r="E31" s="92">
        <f>CEILING(ROUNDUP(IF(ISNA(VLOOKUP(C31,'Step 1 - Fungicide Planner'!$K$20:$N$34,4,FALSE))=TRUE,"",VLOOKUP(C31,'Step 1 - Fungicide Planner'!$K$20:$N$34,4,FALSE)),M31),N31)</f>
        <v>0</v>
      </c>
      <c r="F31" s="112">
        <v>0</v>
      </c>
      <c r="G31" s="46">
        <f t="shared" si="1"/>
        <v>0</v>
      </c>
      <c r="H31" s="112">
        <v>0</v>
      </c>
      <c r="I31" s="46">
        <f t="shared" si="2"/>
        <v>0</v>
      </c>
      <c r="J31" s="47">
        <f>IF(ISNA(VLOOKUP($C31,'Coverage Reference'!$B$4:$H$21,4,FALSE))=TRUE,0,VLOOKUP($C31,'Coverage Reference'!$B$4:$H$21,4,FALSE)*(F31+H31))</f>
        <v>0</v>
      </c>
      <c r="K31" s="47">
        <f>IF(ISNA(VLOOKUP($C31,'Coverage Reference'!$B$4:$H$21,5,FALSE))=TRUE,0,VLOOKUP($C31,'Coverage Reference'!$B$4:$H$21,5,FALSE)*(F31+H31))</f>
        <v>0</v>
      </c>
      <c r="L31" s="47">
        <f>IF(ISNA(VLOOKUP($C31,'Coverage Reference'!$B$4:$H$21,6,FALSE))=TRUE,0,VLOOKUP($C31,'Coverage Reference'!$B$4:$H$21,6,FALSE)*(F31+H31))</f>
        <v>0</v>
      </c>
      <c r="M31" s="110">
        <v>0</v>
      </c>
      <c r="N31" s="110">
        <v>1</v>
      </c>
      <c r="P31" s="247" t="s">
        <v>275</v>
      </c>
      <c r="Q31" s="249" t="str">
        <f>IF(B23&gt;0,"Achieved","Buy 2 or more bottles")</f>
        <v>Buy 2 or more bottles</v>
      </c>
    </row>
    <row r="32" spans="1:17" ht="13.5" thickBot="1" x14ac:dyDescent="0.25">
      <c r="A32" s="43" t="str">
        <f>VLOOKUP($C32,'Article Reference'!$A$3:$C$40,2,FALSE)</f>
        <v>Insignia® SC Intrinsic® brand fungicide</v>
      </c>
      <c r="B32" s="44" t="str">
        <f>VLOOKUP($C32,'Article Reference'!$A$3:$C$40,3,FALSE)</f>
        <v>4 x 30.5 fl oz</v>
      </c>
      <c r="C32" s="48">
        <v>59028038</v>
      </c>
      <c r="D32" s="45">
        <f>VLOOKUP($C32,'Article Reference'!$A$3:$D$17,4,FALSE)</f>
        <v>2303.36</v>
      </c>
      <c r="E32" s="92">
        <f>CEILING(ROUNDUP(IF(ISNA(VLOOKUP(C32,'Step 1 - Fungicide Planner'!$K$20:$N$34,4,FALSE))=TRUE,"",VLOOKUP(C32,'Step 1 - Fungicide Planner'!$K$20:$N$34,4,FALSE)),M32),N32)</f>
        <v>0</v>
      </c>
      <c r="F32" s="112">
        <v>0</v>
      </c>
      <c r="G32" s="46">
        <f t="shared" si="1"/>
        <v>0</v>
      </c>
      <c r="H32" s="112">
        <v>0</v>
      </c>
      <c r="I32" s="46">
        <f t="shared" si="2"/>
        <v>0</v>
      </c>
      <c r="J32" s="47">
        <f>IF(ISNA(VLOOKUP($C32,'Coverage Reference'!$B$4:$H$21,4,FALSE))=TRUE,0,VLOOKUP($C32,'Coverage Reference'!$B$4:$H$21,4,FALSE)*(F32+H32))</f>
        <v>0</v>
      </c>
      <c r="K32" s="47">
        <f>IF(ISNA(VLOOKUP($C32,'Coverage Reference'!$B$4:$H$21,5,FALSE))=TRUE,0,VLOOKUP($C32,'Coverage Reference'!$B$4:$H$21,5,FALSE)*(F32+H32))</f>
        <v>0</v>
      </c>
      <c r="L32" s="47">
        <f>IF(ISNA(VLOOKUP($C32,'Coverage Reference'!$B$4:$H$21,6,FALSE))=TRUE,0,VLOOKUP($C32,'Coverage Reference'!$B$4:$H$21,6,FALSE)*(F32+H32))</f>
        <v>0</v>
      </c>
      <c r="M32" s="110">
        <v>2</v>
      </c>
      <c r="N32" s="110">
        <v>0.25</v>
      </c>
      <c r="P32" s="248"/>
      <c r="Q32" s="250"/>
    </row>
    <row r="33" spans="1:17" x14ac:dyDescent="0.2">
      <c r="A33" s="43" t="str">
        <f>VLOOKUP($C33,'Article Reference'!$A$3:$C$40,2,FALSE)</f>
        <v>Insignia® SC Intrinsic® brand fungicide</v>
      </c>
      <c r="B33" s="44" t="str">
        <f>VLOOKUP($C33,'Article Reference'!$A$3:$C$40,3,FALSE)</f>
        <v>2 x 2.5 gal</v>
      </c>
      <c r="C33" s="48">
        <v>59028040</v>
      </c>
      <c r="D33" s="45">
        <f>VLOOKUP($C33,'Article Reference'!$A$3:$D$17,4,FALSE)</f>
        <v>7522.5</v>
      </c>
      <c r="E33" s="92">
        <f>CEILING(ROUNDUP(IF(ISNA(VLOOKUP(C33,'Step 1 - Fungicide Planner'!$K$20:$N$34,4,FALSE))=TRUE,"",VLOOKUP(C33,'Step 1 - Fungicide Planner'!$K$20:$N$34,4,FALSE)),M33),N33)</f>
        <v>0</v>
      </c>
      <c r="F33" s="112">
        <v>0</v>
      </c>
      <c r="G33" s="46">
        <f t="shared" si="1"/>
        <v>0</v>
      </c>
      <c r="H33" s="112">
        <v>0</v>
      </c>
      <c r="I33" s="46">
        <f t="shared" si="2"/>
        <v>0</v>
      </c>
      <c r="J33" s="47">
        <f>IF(ISNA(VLOOKUP($C33,'Coverage Reference'!$B$4:$H$21,4,FALSE))=TRUE,0,VLOOKUP($C33,'Coverage Reference'!$B$4:$H$21,4,FALSE)*(F33+H33))</f>
        <v>0</v>
      </c>
      <c r="K33" s="47">
        <f>IF(ISNA(VLOOKUP($C33,'Coverage Reference'!$B$4:$H$21,5,FALSE))=TRUE,0,VLOOKUP($C33,'Coverage Reference'!$B$4:$H$21,5,FALSE)*(F33+H33))</f>
        <v>0</v>
      </c>
      <c r="L33" s="47">
        <f>IF(ISNA(VLOOKUP($C33,'Coverage Reference'!$B$4:$H$21,6,FALSE))=TRUE,0,VLOOKUP($C33,'Coverage Reference'!$B$4:$H$21,6,FALSE)*(F33+H33))</f>
        <v>0</v>
      </c>
      <c r="M33" s="110">
        <v>2</v>
      </c>
      <c r="N33" s="110">
        <v>0.5</v>
      </c>
      <c r="P33" s="206">
        <f>'Range Reference'!P23</f>
        <v>0</v>
      </c>
      <c r="Q33" s="251">
        <f>IF(P33&gt;=2,0.05,0)</f>
        <v>0</v>
      </c>
    </row>
    <row r="34" spans="1:17" ht="12.75" customHeight="1" x14ac:dyDescent="0.2">
      <c r="A34" s="43" t="str">
        <f>VLOOKUP($C34,'Article Reference'!$A$3:$C$40,2,FALSE)</f>
        <v>Lexicon® Intrinsic® brand fungicide</v>
      </c>
      <c r="B34" s="44" t="str">
        <f>VLOOKUP($C34,'Article Reference'!$A$3:$C$40,3,FALSE)</f>
        <v>4 x 21 oz</v>
      </c>
      <c r="C34" s="48">
        <v>59027998</v>
      </c>
      <c r="D34" s="45">
        <f>VLOOKUP($C34,'Article Reference'!$A$3:$D$17,4,FALSE)</f>
        <v>2520</v>
      </c>
      <c r="E34" s="92">
        <f>CEILING(ROUNDUP(IF(ISNA(VLOOKUP(C34,'Step 1 - Fungicide Planner'!$K$20:$N$34,4,FALSE))=TRUE,"",VLOOKUP(C34,'Step 1 - Fungicide Planner'!$K$20:$N$34,4,FALSE)),M34),N34)</f>
        <v>0</v>
      </c>
      <c r="F34" s="112">
        <v>0</v>
      </c>
      <c r="G34" s="46">
        <f t="shared" si="1"/>
        <v>0</v>
      </c>
      <c r="H34" s="112">
        <v>0</v>
      </c>
      <c r="I34" s="46">
        <f t="shared" si="2"/>
        <v>0</v>
      </c>
      <c r="J34" s="47">
        <f>IF(ISNA(VLOOKUP($C34,'Coverage Reference'!$B$4:$H$21,4,FALSE))=TRUE,0,VLOOKUP($C34,'Coverage Reference'!$B$4:$H$21,4,FALSE)*(F34+H34))</f>
        <v>0</v>
      </c>
      <c r="K34" s="47">
        <f>IF(ISNA(VLOOKUP($C34,'Coverage Reference'!$B$4:$H$21,5,FALSE))=TRUE,0,VLOOKUP($C34,'Coverage Reference'!$B$4:$H$21,5,FALSE)*(F34+H34))</f>
        <v>0</v>
      </c>
      <c r="L34" s="47">
        <f>IF(ISNA(VLOOKUP($C34,'Coverage Reference'!$B$4:$H$21,6,FALSE))=TRUE,0,VLOOKUP($C34,'Coverage Reference'!$B$4:$H$21,6,FALSE)*(F34+H34))</f>
        <v>0</v>
      </c>
      <c r="M34" s="110">
        <v>2</v>
      </c>
      <c r="N34" s="110">
        <v>0.25</v>
      </c>
      <c r="P34" s="207"/>
      <c r="Q34" s="252"/>
    </row>
    <row r="35" spans="1:17" ht="12.75" customHeight="1" x14ac:dyDescent="0.2">
      <c r="A35" s="43" t="str">
        <f>VLOOKUP($C35,'Article Reference'!$A$3:$C$40,2,FALSE)</f>
        <v>Maxtima® fungicide</v>
      </c>
      <c r="B35" s="44" t="str">
        <f>VLOOKUP($C35,'Article Reference'!$A$3:$C$40,3,FALSE)</f>
        <v>4 x 26 oz</v>
      </c>
      <c r="C35" s="48">
        <v>59018087</v>
      </c>
      <c r="D35" s="45">
        <f>VLOOKUP($C35,'Article Reference'!$A$3:$D$17,4,FALSE)</f>
        <v>956.8</v>
      </c>
      <c r="E35" s="92">
        <f>CEILING(ROUNDUP(IF(ISNA(VLOOKUP(C35,'Step 1 - Fungicide Planner'!$K$20:$N$34,4,FALSE))=TRUE,"",VLOOKUP(C35,'Step 1 - Fungicide Planner'!$K$20:$N$34,4,FALSE)),M35),N35)</f>
        <v>0</v>
      </c>
      <c r="F35" s="112">
        <v>0</v>
      </c>
      <c r="G35" s="46">
        <f t="shared" si="1"/>
        <v>0</v>
      </c>
      <c r="H35" s="112">
        <v>0</v>
      </c>
      <c r="I35" s="46">
        <f t="shared" si="2"/>
        <v>0</v>
      </c>
      <c r="J35" s="47">
        <f>IF(ISNA(VLOOKUP($C35,'Coverage Reference'!$B$4:$H$21,4,FALSE))=TRUE,0,VLOOKUP($C35,'Coverage Reference'!$B$4:$H$21,4,FALSE)*(F35+H35))</f>
        <v>0</v>
      </c>
      <c r="K35" s="47">
        <f>IF(ISNA(VLOOKUP($C35,'Coverage Reference'!$B$4:$H$21,5,FALSE))=TRUE,0,VLOOKUP($C35,'Coverage Reference'!$B$4:$H$21,5,FALSE)*(F35+H35))</f>
        <v>0</v>
      </c>
      <c r="L35" s="47">
        <f>IF(ISNA(VLOOKUP($C35,'Coverage Reference'!$B$4:$H$21,6,FALSE))=TRUE,0,VLOOKUP($C35,'Coverage Reference'!$B$4:$H$21,6,FALSE)*(F35+H35))</f>
        <v>0</v>
      </c>
      <c r="M35" s="110">
        <v>2</v>
      </c>
      <c r="N35" s="110">
        <v>0.25</v>
      </c>
    </row>
    <row r="36" spans="1:17" x14ac:dyDescent="0.2">
      <c r="A36" s="43" t="str">
        <f>VLOOKUP($C36,'Article Reference'!$A$3:$C$40,2,FALSE)</f>
        <v>Maxtima® fungicide</v>
      </c>
      <c r="B36" s="44" t="str">
        <f>VLOOKUP($C36,'Article Reference'!$A$3:$C$40,3,FALSE)</f>
        <v>2 x 2.5 gal</v>
      </c>
      <c r="C36" s="48">
        <v>59018071</v>
      </c>
      <c r="D36" s="45">
        <f>VLOOKUP($C36,'Article Reference'!$A$3:$D$17,4,FALSE)</f>
        <v>4715</v>
      </c>
      <c r="E36" s="92">
        <f>CEILING(ROUNDUP(IF(ISNA(VLOOKUP(C36,'Step 1 - Fungicide Planner'!$K$20:$N$34,4,FALSE))=TRUE,"",VLOOKUP(C36,'Step 1 - Fungicide Planner'!$K$20:$N$34,4,FALSE)),M36),N36)</f>
        <v>0</v>
      </c>
      <c r="F36" s="112">
        <v>0</v>
      </c>
      <c r="G36" s="46">
        <f t="shared" si="1"/>
        <v>0</v>
      </c>
      <c r="H36" s="112">
        <v>0</v>
      </c>
      <c r="I36" s="46">
        <f t="shared" si="2"/>
        <v>0</v>
      </c>
      <c r="J36" s="47">
        <f>IF(ISNA(VLOOKUP($C36,'Coverage Reference'!$B$4:$H$21,4,FALSE))=TRUE,0,VLOOKUP($C36,'Coverage Reference'!$B$4:$H$21,4,FALSE)*(F36+H36))</f>
        <v>0</v>
      </c>
      <c r="K36" s="47">
        <f>IF(ISNA(VLOOKUP($C36,'Coverage Reference'!$B$4:$H$21,5,FALSE))=TRUE,0,VLOOKUP($C36,'Coverage Reference'!$B$4:$H$21,5,FALSE)*(F36+H36))</f>
        <v>0</v>
      </c>
      <c r="L36" s="47">
        <f>IF(ISNA(VLOOKUP($C36,'Coverage Reference'!$B$4:$H$21,6,FALSE))=TRUE,0,VLOOKUP($C36,'Coverage Reference'!$B$4:$H$21,6,FALSE)*(F36+H36))</f>
        <v>0</v>
      </c>
      <c r="M36" s="110">
        <v>2</v>
      </c>
      <c r="N36" s="110">
        <v>0.5</v>
      </c>
    </row>
    <row r="37" spans="1:17" x14ac:dyDescent="0.2">
      <c r="A37" s="43" t="str">
        <f>VLOOKUP($C37,'Article Reference'!$A$3:$C$40,2,FALSE)</f>
        <v>Navicon® Intrinsic® brand fungicide</v>
      </c>
      <c r="B37" s="44" t="str">
        <f>VLOOKUP($C37,'Article Reference'!$A$3:$C$40,3,FALSE)</f>
        <v>4 x 37 fl oz</v>
      </c>
      <c r="C37" s="48">
        <v>59018094</v>
      </c>
      <c r="D37" s="45">
        <f>VLOOKUP($C37,'Article Reference'!$A$3:$D$17,4,FALSE)</f>
        <v>2308.8000000000002</v>
      </c>
      <c r="E37" s="92">
        <f>CEILING(ROUNDUP(IF(ISNA(VLOOKUP(C37,'Step 1 - Fungicide Planner'!$K$20:$N$34,4,FALSE))=TRUE,"",VLOOKUP(C37,'Step 1 - Fungicide Planner'!$K$20:$N$34,4,FALSE)),M37),N37)</f>
        <v>0</v>
      </c>
      <c r="F37" s="112">
        <v>0</v>
      </c>
      <c r="G37" s="46">
        <f t="shared" si="1"/>
        <v>0</v>
      </c>
      <c r="H37" s="112">
        <v>0</v>
      </c>
      <c r="I37" s="46">
        <f t="shared" si="2"/>
        <v>0</v>
      </c>
      <c r="J37" s="47">
        <f>IF(ISNA(VLOOKUP($C37,'Coverage Reference'!$B$4:$H$21,4,FALSE))=TRUE,0,VLOOKUP($C37,'Coverage Reference'!$B$4:$H$21,4,FALSE)*(F37+H37))</f>
        <v>0</v>
      </c>
      <c r="K37" s="47">
        <f>IF(ISNA(VLOOKUP($C37,'Coverage Reference'!$B$4:$H$21,5,FALSE))=TRUE,0,VLOOKUP($C37,'Coverage Reference'!$B$4:$H$21,5,FALSE)*(F37+H37))</f>
        <v>0</v>
      </c>
      <c r="L37" s="47">
        <f>IF(ISNA(VLOOKUP($C37,'Coverage Reference'!$B$4:$H$21,6,FALSE))=TRUE,0,VLOOKUP($C37,'Coverage Reference'!$B$4:$H$21,6,FALSE)*(F37+H37))</f>
        <v>0</v>
      </c>
      <c r="M37" s="110">
        <v>2</v>
      </c>
      <c r="N37" s="110">
        <v>0.25</v>
      </c>
    </row>
    <row r="38" spans="1:17" x14ac:dyDescent="0.2">
      <c r="A38" s="43" t="str">
        <f>VLOOKUP($C38,'Article Reference'!$A$3:$C$40,2,FALSE)</f>
        <v>Navicon® Intrinsic® brand fungicide</v>
      </c>
      <c r="B38" s="44" t="str">
        <f>VLOOKUP($C38,'Article Reference'!$A$3:$C$40,3,FALSE)</f>
        <v>2 x 2.5 gal</v>
      </c>
      <c r="C38" s="53">
        <v>59018095</v>
      </c>
      <c r="D38" s="45">
        <f>VLOOKUP($C38,'Article Reference'!$A$3:$D$17,4,FALSE)</f>
        <v>7320</v>
      </c>
      <c r="E38" s="92">
        <f>CEILING(ROUNDUP(IF(ISNA(VLOOKUP(C38,'Step 1 - Fungicide Planner'!$K$20:$N$34,4,FALSE))=TRUE,"",VLOOKUP(C38,'Step 1 - Fungicide Planner'!$K$20:$N$34,4,FALSE)),M38),N38)</f>
        <v>0</v>
      </c>
      <c r="F38" s="112">
        <v>0</v>
      </c>
      <c r="G38" s="46">
        <f t="shared" si="1"/>
        <v>0</v>
      </c>
      <c r="H38" s="112">
        <v>0</v>
      </c>
      <c r="I38" s="46">
        <f t="shared" si="2"/>
        <v>0</v>
      </c>
      <c r="J38" s="47">
        <f>IF(ISNA(VLOOKUP($C38,'Coverage Reference'!$B$4:$H$21,4,FALSE))=TRUE,0,VLOOKUP($C38,'Coverage Reference'!$B$4:$H$21,4,FALSE)*(F38+H38))</f>
        <v>0</v>
      </c>
      <c r="K38" s="47">
        <f>IF(ISNA(VLOOKUP($C38,'Coverage Reference'!$B$4:$H$21,5,FALSE))=TRUE,0,VLOOKUP($C38,'Coverage Reference'!$B$4:$H$21,5,FALSE)*(F38+H38))</f>
        <v>0</v>
      </c>
      <c r="L38" s="47">
        <f>IF(ISNA(VLOOKUP($C38,'Coverage Reference'!$B$4:$H$21,6,FALSE))=TRUE,0,VLOOKUP($C38,'Coverage Reference'!$B$4:$H$21,6,FALSE)*(F38+H38))</f>
        <v>0</v>
      </c>
      <c r="M38" s="110">
        <v>2</v>
      </c>
      <c r="N38" s="110">
        <v>0.5</v>
      </c>
    </row>
    <row r="39" spans="1:17" x14ac:dyDescent="0.2">
      <c r="A39" s="43" t="str">
        <f>VLOOKUP($C39,'Article Reference'!$A$3:$C$40,2,FALSE)</f>
        <v>Xzemplar® fungicide</v>
      </c>
      <c r="B39" s="44" t="str">
        <f>VLOOKUP($C39,'Article Reference'!$A$3:$C$40,3,FALSE)</f>
        <v>2 x 114 oz</v>
      </c>
      <c r="C39" s="48">
        <v>59013833</v>
      </c>
      <c r="D39" s="45">
        <f>VLOOKUP($C39,'Article Reference'!$A$3:$D$17,4,FALSE)</f>
        <v>3602.4</v>
      </c>
      <c r="E39" s="92">
        <f>CEILING(ROUNDUP(IF(ISNA(VLOOKUP(C39,'Step 1 - Fungicide Planner'!$K$20:$N$34,4,FALSE))=TRUE,"",VLOOKUP(C39,'Step 1 - Fungicide Planner'!$K$20:$N$34,4,FALSE)),M39),N39)</f>
        <v>0</v>
      </c>
      <c r="F39" s="112">
        <v>0</v>
      </c>
      <c r="G39" s="46">
        <f t="shared" si="1"/>
        <v>0</v>
      </c>
      <c r="H39" s="112">
        <v>0</v>
      </c>
      <c r="I39" s="46">
        <f t="shared" si="2"/>
        <v>0</v>
      </c>
      <c r="J39" s="47">
        <f>IF(ISNA(VLOOKUP($C39,'Coverage Reference'!$B$4:$H$21,4,FALSE))=TRUE,0,VLOOKUP($C39,'Coverage Reference'!$B$4:$H$21,4,FALSE)*(F39+H39))</f>
        <v>0</v>
      </c>
      <c r="K39" s="47">
        <f>IF(ISNA(VLOOKUP($C39,'Coverage Reference'!$B$4:$H$21,5,FALSE))=TRUE,0,VLOOKUP($C39,'Coverage Reference'!$B$4:$H$21,5,FALSE)*(F39+H39))</f>
        <v>0</v>
      </c>
      <c r="L39" s="47">
        <f>IF(ISNA(VLOOKUP($C39,'Coverage Reference'!$B$4:$H$21,6,FALSE))=TRUE,0,VLOOKUP($C39,'Coverage Reference'!$B$4:$H$21,6,FALSE)*(F39+H39))</f>
        <v>0</v>
      </c>
      <c r="M39" s="110">
        <v>2</v>
      </c>
      <c r="N39" s="110">
        <v>0.5</v>
      </c>
    </row>
    <row r="40" spans="1:17" x14ac:dyDescent="0.2">
      <c r="A40" s="43" t="str">
        <f>VLOOKUP($C40,'Article Reference'!$A$3:$C$40,2,FALSE)</f>
        <v>Xzemplar® fungicide</v>
      </c>
      <c r="B40" s="44" t="str">
        <f>VLOOKUP($C40,'Article Reference'!$A$3:$C$40,3,FALSE)</f>
        <v>4 x 11.4 oz</v>
      </c>
      <c r="C40" s="48">
        <v>59014120</v>
      </c>
      <c r="D40" s="45">
        <f>VLOOKUP($C40,'Article Reference'!$A$3:$D$17,4,FALSE)</f>
        <v>861.84</v>
      </c>
      <c r="E40" s="92">
        <f>CEILING(ROUNDUP(IF(ISNA(VLOOKUP(C40,'Step 1 - Fungicide Planner'!$K$20:$N$34,4,FALSE))=TRUE,"",VLOOKUP(C40,'Step 1 - Fungicide Planner'!$K$20:$N$34,4,FALSE)),M40),N40)</f>
        <v>0</v>
      </c>
      <c r="F40" s="112">
        <v>0</v>
      </c>
      <c r="G40" s="46">
        <f t="shared" ref="G40" si="3">D40*F40</f>
        <v>0</v>
      </c>
      <c r="H40" s="112">
        <v>0</v>
      </c>
      <c r="I40" s="46">
        <f t="shared" ref="I40" si="4">H40*D40</f>
        <v>0</v>
      </c>
      <c r="J40" s="47">
        <f>IF(ISNA(VLOOKUP($C40,'Coverage Reference'!$B$4:$H$21,4,FALSE))=TRUE,0,VLOOKUP($C40,'Coverage Reference'!$B$4:$H$21,4,FALSE)*(F40+H40))</f>
        <v>0</v>
      </c>
      <c r="K40" s="47">
        <f>IF(ISNA(VLOOKUP($C40,'Coverage Reference'!$B$4:$H$21,5,FALSE))=TRUE,0,VLOOKUP($C40,'Coverage Reference'!$B$4:$H$21,5,FALSE)*(F40+H40))</f>
        <v>0</v>
      </c>
      <c r="L40" s="47">
        <f>IF(ISNA(VLOOKUP($C40,'Coverage Reference'!$B$4:$H$21,6,FALSE))=TRUE,0,VLOOKUP($C40,'Coverage Reference'!$B$4:$H$21,6,FALSE)*(F40+H40))</f>
        <v>0</v>
      </c>
      <c r="M40" s="110">
        <v>2</v>
      </c>
      <c r="N40" s="110">
        <v>0.25</v>
      </c>
    </row>
    <row r="41" spans="1:17" x14ac:dyDescent="0.2">
      <c r="A41" s="225" t="s">
        <v>127</v>
      </c>
      <c r="B41" s="225"/>
      <c r="C41" s="225"/>
      <c r="D41" s="225"/>
      <c r="E41" s="225"/>
      <c r="F41" s="106"/>
      <c r="G41" s="107">
        <f>SUM(G26:G40)</f>
        <v>0</v>
      </c>
      <c r="H41" s="108"/>
      <c r="I41" s="107">
        <f>SUM(I26:I40)</f>
        <v>0</v>
      </c>
      <c r="J41" s="224">
        <f>I41+G41</f>
        <v>0</v>
      </c>
      <c r="K41" s="224"/>
      <c r="L41" s="224"/>
    </row>
    <row r="42" spans="1:17" ht="25.5" x14ac:dyDescent="0.2">
      <c r="A42" s="138" t="s">
        <v>120</v>
      </c>
      <c r="B42" s="138" t="s">
        <v>0</v>
      </c>
      <c r="C42" s="138" t="s">
        <v>1</v>
      </c>
      <c r="D42" s="139" t="s">
        <v>76</v>
      </c>
      <c r="E42" s="227"/>
      <c r="F42" s="139" t="s">
        <v>119</v>
      </c>
      <c r="G42" s="139" t="s">
        <v>118</v>
      </c>
      <c r="H42" s="229"/>
      <c r="I42" s="230"/>
      <c r="J42" s="49" t="s">
        <v>31</v>
      </c>
      <c r="K42" s="49" t="s">
        <v>55</v>
      </c>
      <c r="L42" s="49" t="s">
        <v>32</v>
      </c>
    </row>
    <row r="43" spans="1:17" x14ac:dyDescent="0.2">
      <c r="A43" s="213" t="s">
        <v>197</v>
      </c>
      <c r="B43" s="214"/>
      <c r="C43" s="214"/>
      <c r="D43" s="215"/>
      <c r="E43" s="228"/>
      <c r="F43" s="216"/>
      <c r="G43" s="217"/>
      <c r="H43" s="231"/>
      <c r="I43" s="232"/>
      <c r="J43" s="49"/>
      <c r="K43" s="49"/>
      <c r="L43" s="49"/>
    </row>
    <row r="44" spans="1:17" x14ac:dyDescent="0.2">
      <c r="A44" s="43" t="str">
        <f>VLOOKUP($C44,'Article Reference'!$A$5:$D$53,2,FALSE)</f>
        <v>Alucion® 35 WG insecticide</v>
      </c>
      <c r="B44" s="44" t="str">
        <f>VLOOKUP($C44,'Article Reference'!$A$5:$D$53,3,FALSE)</f>
        <v>10 x 2.375 lbs</v>
      </c>
      <c r="C44" s="86">
        <v>59024020</v>
      </c>
      <c r="D44" s="45">
        <f>VLOOKUP($C44,'Article Reference'!$A$5:$D$53,4,FALSE)</f>
        <v>2636.3</v>
      </c>
      <c r="E44" s="228"/>
      <c r="F44" s="112">
        <v>0</v>
      </c>
      <c r="G44" s="46">
        <f>F44*D44</f>
        <v>0</v>
      </c>
      <c r="H44" s="231"/>
      <c r="I44" s="232"/>
      <c r="J44" s="47">
        <f>IF(ISNA(VLOOKUP($C44,'Coverage Reference'!$B$6:$H$21,4,FALSE))=TRUE,0,VLOOKUP($C44,'Coverage Reference'!$B$6:$H$21,4,FALSE)*(F44+H44))</f>
        <v>0</v>
      </c>
      <c r="K44" s="47">
        <f>IF(ISNA(VLOOKUP($C44,'Coverage Reference'!$B$6:$H$21,5,FALSE))=TRUE,0,VLOOKUP($C44,'Coverage Reference'!$B$6:$H$21,5,FALSE)*(F44+H44))</f>
        <v>0</v>
      </c>
      <c r="L44" s="47">
        <f>IF(ISNA(VLOOKUP($C44,'Coverage Reference'!$B$6:$H$21,6,FALSE))=TRUE,0,VLOOKUP($C44,'Coverage Reference'!$B$6:$H$21,6,FALSE)*(F44+H44))</f>
        <v>0</v>
      </c>
      <c r="M44" s="111"/>
    </row>
    <row r="45" spans="1:17" x14ac:dyDescent="0.2">
      <c r="A45" s="43" t="str">
        <f>VLOOKUP($C45,'Article Reference'!$A$5:$D$53,2,FALSE)</f>
        <v>Amdro Pro Fire Ant Bait</v>
      </c>
      <c r="B45" s="44" t="str">
        <f>VLOOKUP($C45,'Article Reference'!$A$5:$D$53,3,FALSE)</f>
        <v>1 x 25lbs</v>
      </c>
      <c r="C45" s="86">
        <v>59021451</v>
      </c>
      <c r="D45" s="45">
        <f>VLOOKUP($C45,'Article Reference'!$A$5:$D$53,4,FALSE)</f>
        <v>625</v>
      </c>
      <c r="E45" s="228"/>
      <c r="F45" s="112">
        <v>0</v>
      </c>
      <c r="G45" s="46">
        <f>F45*D45</f>
        <v>0</v>
      </c>
      <c r="H45" s="231"/>
      <c r="I45" s="232"/>
      <c r="J45" s="47">
        <f>IF(ISNA(VLOOKUP($C45,'Coverage Reference'!$B$6:$H$21,4,FALSE))=TRUE,0,VLOOKUP($C45,'Coverage Reference'!$B$6:$H$21,4,FALSE)*(F45+H45))</f>
        <v>0</v>
      </c>
      <c r="K45" s="47">
        <f>IF(ISNA(VLOOKUP($C45,'Coverage Reference'!$B$6:$H$21,5,FALSE))=TRUE,0,VLOOKUP($C45,'Coverage Reference'!$B$6:$H$21,5,FALSE)*(F45+H45))</f>
        <v>0</v>
      </c>
      <c r="L45" s="47">
        <f>IF(ISNA(VLOOKUP($C45,'Coverage Reference'!$B$6:$H$21,6,FALSE))=TRUE,0,VLOOKUP($C45,'Coverage Reference'!$B$6:$H$21,6,FALSE)*(F45+H45))</f>
        <v>0</v>
      </c>
      <c r="M45" s="111"/>
    </row>
    <row r="46" spans="1:17" x14ac:dyDescent="0.2">
      <c r="A46" s="43" t="str">
        <f>VLOOKUP($C46,'Article Reference'!$A$5:$D$53,2,FALSE)</f>
        <v>Siesta® Fire Ant Bait</v>
      </c>
      <c r="B46" s="44" t="str">
        <f>VLOOKUP($C46,'Article Reference'!$A$5:$D$53,3,FALSE)</f>
        <v>15 lbs</v>
      </c>
      <c r="C46" s="86">
        <v>59011057</v>
      </c>
      <c r="D46" s="45">
        <f>VLOOKUP($C46,'Article Reference'!$A$5:$D$53,4,FALSE)</f>
        <v>318.75</v>
      </c>
      <c r="E46" s="228"/>
      <c r="F46" s="112">
        <v>0</v>
      </c>
      <c r="G46" s="46">
        <f t="shared" ref="G46:G76" si="5">F46*D46</f>
        <v>0</v>
      </c>
      <c r="H46" s="231"/>
      <c r="I46" s="232"/>
      <c r="J46" s="47">
        <f>IF(ISNA(VLOOKUP($C46,'Coverage Reference'!$B$6:$H$21,4,FALSE))=TRUE,0,VLOOKUP($C46,'Coverage Reference'!$B$6:$H$21,4,FALSE)*(F46+H46))</f>
        <v>0</v>
      </c>
      <c r="K46" s="47">
        <f>IF(ISNA(VLOOKUP($C46,'Coverage Reference'!$B$6:$H$21,5,FALSE))=TRUE,0,VLOOKUP($C46,'Coverage Reference'!$B$6:$H$21,5,FALSE)*(F46+H46))</f>
        <v>0</v>
      </c>
      <c r="L46" s="47">
        <f>IF(ISNA(VLOOKUP($C46,'Coverage Reference'!$B$6:$H$21,6,FALSE))=TRUE,0,VLOOKUP($C46,'Coverage Reference'!$B$6:$H$21,6,FALSE)*(F46+H46))</f>
        <v>0</v>
      </c>
      <c r="M46" s="111"/>
    </row>
    <row r="47" spans="1:17" x14ac:dyDescent="0.2">
      <c r="A47" s="43" t="str">
        <f>VLOOKUP($C47,'Article Reference'!$A$5:$D$53,2,FALSE)</f>
        <v>Sultan® miticide</v>
      </c>
      <c r="B47" s="44" t="str">
        <f>VLOOKUP($C47,'Article Reference'!$A$5:$D$53,3,FALSE)</f>
        <v>4 x 0.125 gal</v>
      </c>
      <c r="C47" s="86">
        <v>59023753</v>
      </c>
      <c r="D47" s="45">
        <f>VLOOKUP($C47,'Article Reference'!$A$5:$D$53,4,FALSE)</f>
        <v>740</v>
      </c>
      <c r="E47" s="228"/>
      <c r="F47" s="112">
        <v>0</v>
      </c>
      <c r="G47" s="46">
        <f t="shared" si="5"/>
        <v>0</v>
      </c>
      <c r="H47" s="231"/>
      <c r="I47" s="232"/>
      <c r="J47" s="47">
        <f>IF(ISNA(VLOOKUP($C47,'Coverage Reference'!$B$6:$H$21,4,FALSE))=TRUE,0,VLOOKUP($C47,'Coverage Reference'!$B$6:$H$21,4,FALSE)*(F47+H47))</f>
        <v>0</v>
      </c>
      <c r="K47" s="47">
        <f>IF(ISNA(VLOOKUP($C47,'Coverage Reference'!$B$6:$H$21,5,FALSE))=TRUE,0,VLOOKUP($C47,'Coverage Reference'!$B$6:$H$21,5,FALSE)*(F47+H47))</f>
        <v>0</v>
      </c>
      <c r="L47" s="47">
        <f>IF(ISNA(VLOOKUP($C47,'Coverage Reference'!$B$6:$H$21,6,FALSE))=TRUE,0,VLOOKUP($C47,'Coverage Reference'!$B$6:$H$21,6,FALSE)*(F47+H47))</f>
        <v>0</v>
      </c>
      <c r="M47" s="111"/>
    </row>
    <row r="48" spans="1:17" x14ac:dyDescent="0.2">
      <c r="A48" s="43" t="str">
        <f>VLOOKUP($C48,'Article Reference'!$A$5:$D$53,2,FALSE)</f>
        <v>Ventigra® insecticide</v>
      </c>
      <c r="B48" s="44" t="str">
        <f>VLOOKUP($C48,'Article Reference'!$A$5:$D$53,3,FALSE)</f>
        <v>4 x 20 oz</v>
      </c>
      <c r="C48" s="86">
        <v>59014680</v>
      </c>
      <c r="D48" s="45">
        <f>VLOOKUP($C48,'Article Reference'!$A$5:$D$53,4,FALSE)</f>
        <v>1360</v>
      </c>
      <c r="E48" s="228"/>
      <c r="F48" s="112">
        <v>0</v>
      </c>
      <c r="G48" s="46">
        <f t="shared" si="5"/>
        <v>0</v>
      </c>
      <c r="H48" s="231"/>
      <c r="I48" s="232"/>
      <c r="J48" s="47">
        <f>IF(ISNA(VLOOKUP($C48,'Coverage Reference'!$B$6:$H$21,4,FALSE))=TRUE,0,VLOOKUP($C48,'Coverage Reference'!$B$6:$H$21,4,FALSE)*(F48+H48))</f>
        <v>0</v>
      </c>
      <c r="K48" s="47">
        <f>IF(ISNA(VLOOKUP($C48,'Coverage Reference'!$B$6:$H$21,5,FALSE))=TRUE,0,VLOOKUP($C48,'Coverage Reference'!$B$6:$H$21,5,FALSE)*(F48+H48))</f>
        <v>0</v>
      </c>
      <c r="L48" s="47">
        <f>IF(ISNA(VLOOKUP($C48,'Coverage Reference'!$B$6:$H$21,6,FALSE))=TRUE,0,VLOOKUP($C48,'Coverage Reference'!$B$6:$H$21,6,FALSE)*(F48+H48))</f>
        <v>0</v>
      </c>
      <c r="M48" s="111"/>
    </row>
    <row r="49" spans="1:13" x14ac:dyDescent="0.2">
      <c r="A49" s="213" t="s">
        <v>198</v>
      </c>
      <c r="B49" s="214"/>
      <c r="C49" s="214"/>
      <c r="D49" s="215"/>
      <c r="E49" s="228"/>
      <c r="F49" s="216"/>
      <c r="G49" s="217"/>
      <c r="H49" s="231"/>
      <c r="I49" s="232"/>
      <c r="J49" s="47"/>
      <c r="K49" s="47"/>
      <c r="L49" s="47"/>
      <c r="M49" s="111"/>
    </row>
    <row r="50" spans="1:13" x14ac:dyDescent="0.2">
      <c r="A50" s="43" t="str">
        <f>VLOOKUP($C50,'Article Reference'!$A$5:$D$53,2,FALSE)</f>
        <v>Orkestra® Intrinsic® brand Fungicide</v>
      </c>
      <c r="B50" s="44" t="str">
        <f>VLOOKUP($C50,'Article Reference'!$A$5:$D$53,3,FALSE)</f>
        <v>4 x 16 oz</v>
      </c>
      <c r="C50" s="86">
        <v>59014379</v>
      </c>
      <c r="D50" s="45">
        <f>VLOOKUP($C50,'Article Reference'!$A$5:$D$53,4,FALSE)</f>
        <v>684.8</v>
      </c>
      <c r="E50" s="228"/>
      <c r="F50" s="112">
        <v>0</v>
      </c>
      <c r="G50" s="46">
        <f t="shared" si="5"/>
        <v>0</v>
      </c>
      <c r="H50" s="231"/>
      <c r="I50" s="232"/>
      <c r="J50" s="47">
        <f>IF(ISNA(VLOOKUP($C50,'Coverage Reference'!$B$6:$H$21,4,FALSE))=TRUE,0,VLOOKUP($C50,'Coverage Reference'!$B$6:$H$21,4,FALSE)*(F50+H50))</f>
        <v>0</v>
      </c>
      <c r="K50" s="47">
        <f>IF(ISNA(VLOOKUP($C50,'Coverage Reference'!$B$6:$H$21,5,FALSE))=TRUE,0,VLOOKUP($C50,'Coverage Reference'!$B$6:$H$21,5,FALSE)*(F50+H50))</f>
        <v>0</v>
      </c>
      <c r="L50" s="47">
        <f>IF(ISNA(VLOOKUP($C50,'Coverage Reference'!$B$6:$H$21,6,FALSE))=TRUE,0,VLOOKUP($C50,'Coverage Reference'!$B$6:$H$21,6,FALSE)*(F50+H50))</f>
        <v>0</v>
      </c>
      <c r="M50" s="111"/>
    </row>
    <row r="51" spans="1:13" x14ac:dyDescent="0.2">
      <c r="A51" s="43" t="str">
        <f>VLOOKUP($C51,'Article Reference'!$A$5:$D$53,2,FALSE)</f>
        <v>Pageant® Intrinsic® brand Fungicide</v>
      </c>
      <c r="B51" s="44" t="str">
        <f>VLOOKUP($C51,'Article Reference'!$A$5:$D$53,3,FALSE)</f>
        <v>4 x 1 lb</v>
      </c>
      <c r="C51" s="86">
        <v>59012349</v>
      </c>
      <c r="D51" s="45">
        <f>VLOOKUP($C51,'Article Reference'!$A$5:$D$53,4,FALSE)</f>
        <v>460</v>
      </c>
      <c r="E51" s="228"/>
      <c r="F51" s="112">
        <v>0</v>
      </c>
      <c r="G51" s="46">
        <f t="shared" si="5"/>
        <v>0</v>
      </c>
      <c r="H51" s="231"/>
      <c r="I51" s="232"/>
      <c r="J51" s="47">
        <f>IF(ISNA(VLOOKUP($C51,'Coverage Reference'!$B$6:$H$21,4,FALSE))=TRUE,0,VLOOKUP($C51,'Coverage Reference'!$B$6:$H$21,4,FALSE)*(F51+H51))</f>
        <v>0</v>
      </c>
      <c r="K51" s="47">
        <f>IF(ISNA(VLOOKUP($C51,'Coverage Reference'!$B$6:$H$21,5,FALSE))=TRUE,0,VLOOKUP($C51,'Coverage Reference'!$B$6:$H$21,5,FALSE)*(F51+H51))</f>
        <v>0</v>
      </c>
      <c r="L51" s="47">
        <f>IF(ISNA(VLOOKUP($C51,'Coverage Reference'!$B$6:$H$21,6,FALSE))=TRUE,0,VLOOKUP($C51,'Coverage Reference'!$B$6:$H$21,6,FALSE)*(F51+H51))</f>
        <v>0</v>
      </c>
      <c r="M51" s="111"/>
    </row>
    <row r="52" spans="1:13" x14ac:dyDescent="0.2">
      <c r="A52" s="43" t="str">
        <f>VLOOKUP($C52,'Article Reference'!$A$5:$D$53,2,FALSE)</f>
        <v>Pillar® G Intrinsic® brand fungicide</v>
      </c>
      <c r="B52" s="44" t="str">
        <f>VLOOKUP($C52,'Article Reference'!$A$5:$D$53,3,FALSE)</f>
        <v>15 lbs bag</v>
      </c>
      <c r="C52" s="86">
        <v>59017959</v>
      </c>
      <c r="D52" s="45">
        <f>VLOOKUP($C52,'Article Reference'!$A$5:$D$53,4,FALSE)</f>
        <v>60.75</v>
      </c>
      <c r="E52" s="228"/>
      <c r="F52" s="112">
        <v>0</v>
      </c>
      <c r="G52" s="46">
        <f t="shared" ref="G52" si="6">F52*D52</f>
        <v>0</v>
      </c>
      <c r="H52" s="231"/>
      <c r="I52" s="232"/>
      <c r="J52" s="47">
        <f>IF(ISNA(VLOOKUP($C52,'Coverage Reference'!$B$6:$H$21,4,FALSE))=TRUE,0,VLOOKUP($C52,'Coverage Reference'!$B$6:$H$21,4,FALSE)*(F52+H52))</f>
        <v>0</v>
      </c>
      <c r="K52" s="47">
        <f>IF(ISNA(VLOOKUP($C52,'Coverage Reference'!$B$6:$H$21,5,FALSE))=TRUE,0,VLOOKUP($C52,'Coverage Reference'!$B$6:$H$21,5,FALSE)*(F52+H52))</f>
        <v>0</v>
      </c>
      <c r="L52" s="47">
        <f>IF(ISNA(VLOOKUP($C52,'Coverage Reference'!$B$6:$H$21,6,FALSE))=TRUE,0,VLOOKUP($C52,'Coverage Reference'!$B$6:$H$21,6,FALSE)*(F52+H52))</f>
        <v>0</v>
      </c>
      <c r="M52" s="111"/>
    </row>
    <row r="53" spans="1:13" x14ac:dyDescent="0.2">
      <c r="A53" s="43" t="str">
        <f>VLOOKUP($C53,'Article Reference'!$A$5:$D$53,2,FALSE)</f>
        <v>Pillar® G Intrinsic® brand fungicide</v>
      </c>
      <c r="B53" s="44" t="str">
        <f>VLOOKUP($C53,'Article Reference'!$A$5:$D$53,3,FALSE)</f>
        <v>30 lbs bag</v>
      </c>
      <c r="C53" s="86">
        <v>59012784</v>
      </c>
      <c r="D53" s="45">
        <f>VLOOKUP($C53,'Article Reference'!$A$5:$D$53,4,FALSE)</f>
        <v>112.5</v>
      </c>
      <c r="E53" s="228"/>
      <c r="F53" s="112">
        <v>0</v>
      </c>
      <c r="G53" s="46">
        <f t="shared" si="5"/>
        <v>0</v>
      </c>
      <c r="H53" s="231"/>
      <c r="I53" s="232"/>
      <c r="J53" s="47">
        <f>IF(ISNA(VLOOKUP($C53,'Coverage Reference'!$B$6:$H$21,4,FALSE))=TRUE,0,VLOOKUP($C53,'Coverage Reference'!$B$6:$H$21,4,FALSE)*(F53+H53))</f>
        <v>0</v>
      </c>
      <c r="K53" s="47">
        <f>IF(ISNA(VLOOKUP($C53,'Coverage Reference'!$B$6:$H$21,5,FALSE))=TRUE,0,VLOOKUP($C53,'Coverage Reference'!$B$6:$H$21,5,FALSE)*(F53+H53))</f>
        <v>0</v>
      </c>
      <c r="L53" s="47">
        <f>IF(ISNA(VLOOKUP($C53,'Coverage Reference'!$B$6:$H$21,6,FALSE))=TRUE,0,VLOOKUP($C53,'Coverage Reference'!$B$6:$H$21,6,FALSE)*(F53+H53))</f>
        <v>0</v>
      </c>
      <c r="M53" s="111"/>
    </row>
    <row r="54" spans="1:13" x14ac:dyDescent="0.2">
      <c r="A54" s="213" t="s">
        <v>199</v>
      </c>
      <c r="B54" s="214"/>
      <c r="C54" s="214"/>
      <c r="D54" s="215"/>
      <c r="E54" s="228"/>
      <c r="F54" s="216"/>
      <c r="G54" s="217"/>
      <c r="H54" s="231"/>
      <c r="I54" s="232"/>
      <c r="J54" s="47"/>
      <c r="K54" s="47"/>
      <c r="L54" s="47"/>
      <c r="M54" s="111"/>
    </row>
    <row r="55" spans="1:13" x14ac:dyDescent="0.2">
      <c r="A55" s="43" t="str">
        <f>VLOOKUP($C55,'Article Reference'!$A$5:$D$53,2,FALSE)</f>
        <v>Basagran® herbicide</v>
      </c>
      <c r="B55" s="44" t="str">
        <f>VLOOKUP($C55,'Article Reference'!$A$5:$D$53,3,FALSE)</f>
        <v>2 x 1 gal</v>
      </c>
      <c r="C55" s="86">
        <v>59011636</v>
      </c>
      <c r="D55" s="45">
        <f>VLOOKUP($C55,'Article Reference'!$A$5:$D$53,4,FALSE)</f>
        <v>127.5</v>
      </c>
      <c r="E55" s="228"/>
      <c r="F55" s="112">
        <v>0</v>
      </c>
      <c r="G55" s="46">
        <f t="shared" si="5"/>
        <v>0</v>
      </c>
      <c r="H55" s="231"/>
      <c r="I55" s="232"/>
      <c r="J55" s="47">
        <f>IF(ISNA(VLOOKUP($C55,'Coverage Reference'!$B$6:$H$21,4,FALSE))=TRUE,0,VLOOKUP($C55,'Coverage Reference'!$B$6:$H$21,4,FALSE)*(F55+H55))</f>
        <v>0</v>
      </c>
      <c r="K55" s="47">
        <f>IF(ISNA(VLOOKUP($C55,'Coverage Reference'!$B$6:$H$21,5,FALSE))=TRUE,0,VLOOKUP($C55,'Coverage Reference'!$B$6:$H$21,5,FALSE)*(F55+H55))</f>
        <v>0</v>
      </c>
      <c r="L55" s="47">
        <f>IF(ISNA(VLOOKUP($C55,'Coverage Reference'!$B$6:$H$21,6,FALSE))=TRUE,0,VLOOKUP($C55,'Coverage Reference'!$B$6:$H$21,6,FALSE)*(F55+H55))</f>
        <v>0</v>
      </c>
      <c r="M55" s="111"/>
    </row>
    <row r="56" spans="1:13" x14ac:dyDescent="0.2">
      <c r="A56" s="43" t="str">
        <f>VLOOKUP($C56,'Article Reference'!$A$5:$D$53,2,FALSE)</f>
        <v>Drive® XLR8 herbicide</v>
      </c>
      <c r="B56" s="44" t="str">
        <f>VLOOKUP($C56,'Article Reference'!$A$5:$D$53,3,FALSE)</f>
        <v>4 x 0.5 gal</v>
      </c>
      <c r="C56" s="86">
        <v>59011404</v>
      </c>
      <c r="D56" s="45">
        <f>VLOOKUP($C56,'Article Reference'!$A$5:$D$53,4,FALSE)</f>
        <v>228.13</v>
      </c>
      <c r="E56" s="228"/>
      <c r="F56" s="112">
        <v>0</v>
      </c>
      <c r="G56" s="46">
        <f t="shared" si="5"/>
        <v>0</v>
      </c>
      <c r="H56" s="231"/>
      <c r="I56" s="232"/>
      <c r="J56" s="47">
        <f>IF(ISNA(VLOOKUP($C56,'Coverage Reference'!$B$6:$H$21,4,FALSE))=TRUE,0,VLOOKUP($C56,'Coverage Reference'!$B$6:$H$21,4,FALSE)*(F56+H56))</f>
        <v>0</v>
      </c>
      <c r="K56" s="47">
        <f>IF(ISNA(VLOOKUP($C56,'Coverage Reference'!$B$6:$H$21,5,FALSE))=TRUE,0,VLOOKUP($C56,'Coverage Reference'!$B$6:$H$21,5,FALSE)*(F56+H56))</f>
        <v>0</v>
      </c>
      <c r="L56" s="47">
        <f>IF(ISNA(VLOOKUP($C56,'Coverage Reference'!$B$6:$H$21,6,FALSE))=TRUE,0,VLOOKUP($C56,'Coverage Reference'!$B$6:$H$21,6,FALSE)*(F56+H56))</f>
        <v>0</v>
      </c>
      <c r="M56" s="111"/>
    </row>
    <row r="57" spans="1:13" x14ac:dyDescent="0.2">
      <c r="A57" s="43" t="str">
        <f>VLOOKUP($C57,'Article Reference'!$A$5:$D$53,2,FALSE)</f>
        <v>Drive® XLR8 herbicide</v>
      </c>
      <c r="B57" s="44" t="str">
        <f>VLOOKUP($C57,'Article Reference'!$A$5:$D$53,3,FALSE)</f>
        <v>2 x 2.5 gal</v>
      </c>
      <c r="C57" s="86">
        <v>59018043</v>
      </c>
      <c r="D57" s="45">
        <f>VLOOKUP($C57,'Article Reference'!$A$5:$D$53,4,FALSE)</f>
        <v>529.69000000000005</v>
      </c>
      <c r="E57" s="228"/>
      <c r="F57" s="112">
        <v>0</v>
      </c>
      <c r="G57" s="46">
        <f t="shared" ref="G57" si="7">F57*D57</f>
        <v>0</v>
      </c>
      <c r="H57" s="231"/>
      <c r="I57" s="232"/>
      <c r="J57" s="47"/>
      <c r="K57" s="47"/>
      <c r="L57" s="47"/>
      <c r="M57" s="111"/>
    </row>
    <row r="58" spans="1:13" x14ac:dyDescent="0.2">
      <c r="A58" s="43" t="str">
        <f>VLOOKUP($C58,'Article Reference'!$A$5:$D$53,2,FALSE)</f>
        <v>FreeHand® 1.75G herbicide</v>
      </c>
      <c r="B58" s="44" t="str">
        <f>VLOOKUP($C58,'Article Reference'!$A$5:$D$53,3,FALSE)</f>
        <v>1 x 50 lb</v>
      </c>
      <c r="C58" s="86">
        <v>59011296</v>
      </c>
      <c r="D58" s="45">
        <f>VLOOKUP($C58,'Article Reference'!$A$5:$D$53,4,FALSE)</f>
        <v>116</v>
      </c>
      <c r="E58" s="228"/>
      <c r="F58" s="112">
        <v>0</v>
      </c>
      <c r="G58" s="46">
        <f t="shared" si="5"/>
        <v>0</v>
      </c>
      <c r="H58" s="231"/>
      <c r="I58" s="232"/>
      <c r="J58" s="47">
        <f>IF(ISNA(VLOOKUP($C58,'Coverage Reference'!$B$6:$H$21,4,FALSE))=TRUE,0,VLOOKUP($C58,'Coverage Reference'!$B$6:$H$21,4,FALSE)*(F58+H58))</f>
        <v>0</v>
      </c>
      <c r="K58" s="47">
        <f>IF(ISNA(VLOOKUP($C58,'Coverage Reference'!$B$6:$H$21,5,FALSE))=TRUE,0,VLOOKUP($C58,'Coverage Reference'!$B$6:$H$21,5,FALSE)*(F58+H58))</f>
        <v>0</v>
      </c>
      <c r="L58" s="47">
        <f>IF(ISNA(VLOOKUP($C58,'Coverage Reference'!$B$6:$H$21,6,FALSE))=TRUE,0,VLOOKUP($C58,'Coverage Reference'!$B$6:$H$21,6,FALSE)*(F58+H58))</f>
        <v>0</v>
      </c>
      <c r="M58" s="111"/>
    </row>
    <row r="59" spans="1:13" x14ac:dyDescent="0.2">
      <c r="A59" s="43" t="str">
        <f>VLOOKUP($C59,'Article Reference'!$A$5:$D$53,2,FALSE)</f>
        <v>Pendulum® 2G herbicide</v>
      </c>
      <c r="B59" s="44" t="str">
        <f>VLOOKUP($C59,'Article Reference'!$A$5:$D$53,3,FALSE)</f>
        <v>40 lbs bag</v>
      </c>
      <c r="C59" s="86">
        <v>59015072</v>
      </c>
      <c r="D59" s="45">
        <f>VLOOKUP($C59,'Article Reference'!$A$5:$D$53,4,FALSE)</f>
        <v>92</v>
      </c>
      <c r="E59" s="228"/>
      <c r="F59" s="112">
        <v>0</v>
      </c>
      <c r="G59" s="46">
        <f t="shared" si="5"/>
        <v>0</v>
      </c>
      <c r="H59" s="231"/>
      <c r="I59" s="232"/>
      <c r="J59" s="47">
        <f>IF(ISNA(VLOOKUP($C59,'Coverage Reference'!$B$6:$H$21,4,FALSE))=TRUE,0,VLOOKUP($C59,'Coverage Reference'!$B$6:$H$21,4,FALSE)*(F59+H59))</f>
        <v>0</v>
      </c>
      <c r="K59" s="47">
        <f>IF(ISNA(VLOOKUP($C59,'Coverage Reference'!$B$6:$H$21,5,FALSE))=TRUE,0,VLOOKUP($C59,'Coverage Reference'!$B$6:$H$21,5,FALSE)*(F59+H59))</f>
        <v>0</v>
      </c>
      <c r="L59" s="47">
        <f>IF(ISNA(VLOOKUP($C59,'Coverage Reference'!$B$6:$H$21,6,FALSE))=TRUE,0,VLOOKUP($C59,'Coverage Reference'!$B$6:$H$21,6,FALSE)*(F59+H59))</f>
        <v>0</v>
      </c>
      <c r="M59" s="111"/>
    </row>
    <row r="60" spans="1:13" x14ac:dyDescent="0.2">
      <c r="A60" s="43" t="str">
        <f>VLOOKUP($C60,'Article Reference'!$A$5:$D$53,2,FALSE)</f>
        <v>Pendulum® 2G herbicide</v>
      </c>
      <c r="B60" s="44" t="str">
        <f>VLOOKUP($C60,'Article Reference'!$A$5:$D$53,3,FALSE)</f>
        <v>20 lbs bag</v>
      </c>
      <c r="C60" s="86">
        <v>59017972</v>
      </c>
      <c r="D60" s="45">
        <f>VLOOKUP($C60,'Article Reference'!$A$5:$D$53,4,FALSE)</f>
        <v>52.5</v>
      </c>
      <c r="E60" s="228"/>
      <c r="F60" s="112">
        <v>0</v>
      </c>
      <c r="G60" s="46">
        <f t="shared" si="5"/>
        <v>0</v>
      </c>
      <c r="H60" s="231"/>
      <c r="I60" s="232"/>
      <c r="J60" s="47">
        <f>IF(ISNA(VLOOKUP($C60,'Coverage Reference'!$B$6:$H$21,4,FALSE))=TRUE,0,VLOOKUP($C60,'Coverage Reference'!$B$6:$H$21,4,FALSE)*(F60+H60))</f>
        <v>0</v>
      </c>
      <c r="K60" s="47">
        <f>IF(ISNA(VLOOKUP($C60,'Coverage Reference'!$B$6:$H$21,5,FALSE))=TRUE,0,VLOOKUP($C60,'Coverage Reference'!$B$6:$H$21,5,FALSE)*(F60+H60))</f>
        <v>0</v>
      </c>
      <c r="L60" s="47">
        <f>IF(ISNA(VLOOKUP($C60,'Coverage Reference'!$B$6:$H$21,6,FALSE))=TRUE,0,VLOOKUP($C60,'Coverage Reference'!$B$6:$H$21,6,FALSE)*(F60+H60))</f>
        <v>0</v>
      </c>
      <c r="M60" s="111"/>
    </row>
    <row r="61" spans="1:13" x14ac:dyDescent="0.2">
      <c r="A61" s="43" t="str">
        <f>VLOOKUP($C61,'Article Reference'!$A$5:$D$53,2,FALSE)</f>
        <v>Pendulum® AquaCap herbicide</v>
      </c>
      <c r="B61" s="44" t="str">
        <f>VLOOKUP($C61,'Article Reference'!$A$5:$D$53,3,FALSE)</f>
        <v>2 x 2.5 gal</v>
      </c>
      <c r="C61" s="86">
        <v>59049276</v>
      </c>
      <c r="D61" s="45">
        <f>VLOOKUP($C61,'Article Reference'!$A$5:$D$53,4,FALSE)</f>
        <v>290.63</v>
      </c>
      <c r="E61" s="228"/>
      <c r="F61" s="112">
        <v>0</v>
      </c>
      <c r="G61" s="46">
        <f t="shared" ref="G61" si="8">F61*D61</f>
        <v>0</v>
      </c>
      <c r="H61" s="231"/>
      <c r="I61" s="232"/>
      <c r="J61" s="47">
        <f>IF(ISNA(VLOOKUP($C61,'Coverage Reference'!$B$6:$H$21,4,FALSE))=TRUE,0,VLOOKUP($C61,'Coverage Reference'!$B$6:$H$21,4,FALSE)*(F61+H61))</f>
        <v>0</v>
      </c>
      <c r="K61" s="47">
        <f>IF(ISNA(VLOOKUP($C61,'Coverage Reference'!$B$6:$H$21,5,FALSE))=TRUE,0,VLOOKUP($C61,'Coverage Reference'!$B$6:$H$21,5,FALSE)*(F61+H61))</f>
        <v>0</v>
      </c>
      <c r="L61" s="47">
        <f>IF(ISNA(VLOOKUP($C61,'Coverage Reference'!$B$6:$H$21,6,FALSE))=TRUE,0,VLOOKUP($C61,'Coverage Reference'!$B$6:$H$21,6,FALSE)*(F61+H61))</f>
        <v>0</v>
      </c>
      <c r="M61" s="111"/>
    </row>
    <row r="62" spans="1:13" x14ac:dyDescent="0.2">
      <c r="A62" s="43" t="str">
        <f>VLOOKUP($C62,'Article Reference'!$A$5:$D$53,2,FALSE)</f>
        <v>Pendulum® AquaCap herbicide</v>
      </c>
      <c r="B62" s="44" t="str">
        <f>VLOOKUP($C62,'Article Reference'!$A$5:$D$53,3,FALSE)</f>
        <v>1 x 15 gal</v>
      </c>
      <c r="C62" s="86">
        <v>59011279</v>
      </c>
      <c r="D62" s="45">
        <f>VLOOKUP($C62,'Article Reference'!$A$5:$D$53,4,FALSE)</f>
        <v>1035</v>
      </c>
      <c r="E62" s="228"/>
      <c r="F62" s="112">
        <v>0</v>
      </c>
      <c r="G62" s="46">
        <f t="shared" si="5"/>
        <v>0</v>
      </c>
      <c r="H62" s="231"/>
      <c r="I62" s="232"/>
      <c r="J62" s="47">
        <f>IF(ISNA(VLOOKUP($C62,'Coverage Reference'!$B$6:$H$21,4,FALSE))=TRUE,0,VLOOKUP($C62,'Coverage Reference'!$B$6:$H$21,4,FALSE)*(F62+H62))</f>
        <v>0</v>
      </c>
      <c r="K62" s="47">
        <f>IF(ISNA(VLOOKUP($C62,'Coverage Reference'!$B$6:$H$21,5,FALSE))=TRUE,0,VLOOKUP($C62,'Coverage Reference'!$B$6:$H$21,5,FALSE)*(F62+H62))</f>
        <v>0</v>
      </c>
      <c r="L62" s="47">
        <f>IF(ISNA(VLOOKUP($C62,'Coverage Reference'!$B$6:$H$21,6,FALSE))=TRUE,0,VLOOKUP($C62,'Coverage Reference'!$B$6:$H$21,6,FALSE)*(F62+H62))</f>
        <v>0</v>
      </c>
      <c r="M62" s="111"/>
    </row>
    <row r="63" spans="1:13" x14ac:dyDescent="0.2">
      <c r="A63" s="43" t="str">
        <f>VLOOKUP($C63,'Article Reference'!$A$5:$D$53,2,FALSE)</f>
        <v>Pylex® herbicide</v>
      </c>
      <c r="B63" s="44" t="str">
        <f>VLOOKUP($C63,'Article Reference'!$A$5:$D$53,3,FALSE)</f>
        <v>4 x 4 oz</v>
      </c>
      <c r="C63" s="86">
        <v>59018005</v>
      </c>
      <c r="D63" s="45">
        <f>VLOOKUP($C63,'Article Reference'!$A$5:$D$53,4,FALSE)</f>
        <v>1552</v>
      </c>
      <c r="E63" s="228"/>
      <c r="F63" s="112">
        <v>0</v>
      </c>
      <c r="G63" s="46">
        <f t="shared" si="5"/>
        <v>0</v>
      </c>
      <c r="H63" s="231"/>
      <c r="I63" s="232"/>
      <c r="J63" s="47">
        <f>IF(ISNA(VLOOKUP($C63,'Coverage Reference'!$B$6:$H$21,4,FALSE))=TRUE,0,VLOOKUP($C63,'Coverage Reference'!$B$6:$H$21,4,FALSE)*(F63+H63))</f>
        <v>0</v>
      </c>
      <c r="K63" s="47">
        <f>IF(ISNA(VLOOKUP($C63,'Coverage Reference'!$B$6:$H$21,5,FALSE))=TRUE,0,VLOOKUP($C63,'Coverage Reference'!$B$6:$H$21,5,FALSE)*(F63+H63))</f>
        <v>0</v>
      </c>
      <c r="L63" s="47">
        <f>IF(ISNA(VLOOKUP($C63,'Coverage Reference'!$B$6:$H$21,6,FALSE))=TRUE,0,VLOOKUP($C63,'Coverage Reference'!$B$6:$H$21,6,FALSE)*(F63+H63))</f>
        <v>0</v>
      </c>
      <c r="M63" s="111"/>
    </row>
    <row r="64" spans="1:13" x14ac:dyDescent="0.2">
      <c r="A64" s="43" t="str">
        <f>VLOOKUP($C64,'Article Reference'!$A$5:$D$53,2,FALSE)</f>
        <v>Segment® II herbicide</v>
      </c>
      <c r="B64" s="44" t="str">
        <f>VLOOKUP($C64,'Article Reference'!$A$5:$D$53,3,FALSE)</f>
        <v>2 x 2.5 gal</v>
      </c>
      <c r="C64" s="86">
        <v>59014427</v>
      </c>
      <c r="D64" s="45">
        <f>VLOOKUP($C64,'Article Reference'!$A$5:$D$53,4,FALSE)</f>
        <v>1706.25</v>
      </c>
      <c r="E64" s="228"/>
      <c r="F64" s="112">
        <v>0</v>
      </c>
      <c r="G64" s="46">
        <f t="shared" si="5"/>
        <v>0</v>
      </c>
      <c r="H64" s="231"/>
      <c r="I64" s="232"/>
      <c r="J64" s="47">
        <f>IF(ISNA(VLOOKUP($C64,'Coverage Reference'!$B$6:$H$21,4,FALSE))=TRUE,0,VLOOKUP($C64,'Coverage Reference'!$B$6:$H$21,4,FALSE)*(F64+H64))</f>
        <v>0</v>
      </c>
      <c r="K64" s="47">
        <f>IF(ISNA(VLOOKUP($C64,'Coverage Reference'!$B$6:$H$21,5,FALSE))=TRUE,0,VLOOKUP($C64,'Coverage Reference'!$B$6:$H$21,5,FALSE)*(F64+H64))</f>
        <v>0</v>
      </c>
      <c r="L64" s="47">
        <f>IF(ISNA(VLOOKUP($C64,'Coverage Reference'!$B$6:$H$21,6,FALSE))=TRUE,0,VLOOKUP($C64,'Coverage Reference'!$B$6:$H$21,6,FALSE)*(F64+H64))</f>
        <v>0</v>
      </c>
      <c r="M64" s="111"/>
    </row>
    <row r="65" spans="1:13" x14ac:dyDescent="0.2">
      <c r="A65" s="43" t="str">
        <f>VLOOKUP($C65,'Article Reference'!$A$5:$D$53,2,FALSE)</f>
        <v>Tower® herbicide</v>
      </c>
      <c r="B65" s="44" t="str">
        <f>VLOOKUP($C65,'Article Reference'!$A$5:$D$53,3,FALSE)</f>
        <v>2 x 2.5 gal</v>
      </c>
      <c r="C65" s="86">
        <v>59014247</v>
      </c>
      <c r="D65" s="45">
        <f>VLOOKUP($C65,'Article Reference'!$A$5:$D$53,4,FALSE)</f>
        <v>2100</v>
      </c>
      <c r="E65" s="228"/>
      <c r="F65" s="112">
        <v>0</v>
      </c>
      <c r="G65" s="46">
        <f t="shared" si="5"/>
        <v>0</v>
      </c>
      <c r="H65" s="231"/>
      <c r="I65" s="232"/>
      <c r="J65" s="47">
        <f>IF(ISNA(VLOOKUP($C65,'Coverage Reference'!$B$6:$H$21,4,FALSE))=TRUE,0,VLOOKUP($C65,'Coverage Reference'!$B$6:$H$21,4,FALSE)*(F65+H65))</f>
        <v>0</v>
      </c>
      <c r="K65" s="47">
        <f>IF(ISNA(VLOOKUP($C65,'Coverage Reference'!$B$6:$H$21,5,FALSE))=TRUE,0,VLOOKUP($C65,'Coverage Reference'!$B$6:$H$21,5,FALSE)*(F65+H65))</f>
        <v>0</v>
      </c>
      <c r="L65" s="47">
        <f>IF(ISNA(VLOOKUP($C65,'Coverage Reference'!$B$6:$H$21,6,FALSE))=TRUE,0,VLOOKUP($C65,'Coverage Reference'!$B$6:$H$21,6,FALSE)*(F65+H65))</f>
        <v>0</v>
      </c>
      <c r="M65" s="111"/>
    </row>
    <row r="66" spans="1:13" x14ac:dyDescent="0.2">
      <c r="A66" s="213" t="s">
        <v>200</v>
      </c>
      <c r="B66" s="214"/>
      <c r="C66" s="214"/>
      <c r="D66" s="215"/>
      <c r="E66" s="228"/>
      <c r="F66" s="216"/>
      <c r="G66" s="217"/>
      <c r="H66" s="231"/>
      <c r="I66" s="232"/>
      <c r="J66" s="47"/>
      <c r="K66" s="47"/>
      <c r="L66" s="47"/>
      <c r="M66" s="111"/>
    </row>
    <row r="67" spans="1:13" x14ac:dyDescent="0.2">
      <c r="A67" s="43" t="str">
        <f>VLOOKUP($C67,'Article Reference'!$A$5:$D$53,2,FALSE)</f>
        <v>Admiral® lake colorant</v>
      </c>
      <c r="B67" s="44" t="str">
        <f>VLOOKUP($C67,'Article Reference'!$A$5:$D$53,3,FALSE)</f>
        <v>4 x 1 gal</v>
      </c>
      <c r="C67" s="86">
        <v>59014151</v>
      </c>
      <c r="D67" s="45">
        <f>VLOOKUP($C67,'Article Reference'!$A$5:$D$53,4,FALSE)</f>
        <v>280</v>
      </c>
      <c r="E67" s="228"/>
      <c r="F67" s="112">
        <v>0</v>
      </c>
      <c r="G67" s="46">
        <f t="shared" ref="G67:G68" si="9">F67*D67</f>
        <v>0</v>
      </c>
      <c r="H67" s="231"/>
      <c r="I67" s="232"/>
      <c r="J67" s="47">
        <f>IF(ISNA(VLOOKUP($C67,'Coverage Reference'!$B$6:$H$21,4,FALSE))=TRUE,0,VLOOKUP($C67,'Coverage Reference'!$B$6:$H$21,4,FALSE)*(F67+H67))</f>
        <v>0</v>
      </c>
      <c r="K67" s="47">
        <f>IF(ISNA(VLOOKUP($C67,'Coverage Reference'!$B$6:$H$21,5,FALSE))=TRUE,0,VLOOKUP($C67,'Coverage Reference'!$B$6:$H$21,5,FALSE)*(F67+H67))</f>
        <v>0</v>
      </c>
      <c r="L67" s="47">
        <f>IF(ISNA(VLOOKUP($C67,'Coverage Reference'!$B$6:$H$21,6,FALSE))=TRUE,0,VLOOKUP($C67,'Coverage Reference'!$B$6:$H$21,6,FALSE)*(F67+H67))</f>
        <v>0</v>
      </c>
      <c r="M67" s="111"/>
    </row>
    <row r="68" spans="1:13" x14ac:dyDescent="0.2">
      <c r="A68" s="43" t="str">
        <f>VLOOKUP($C68,'Article Reference'!$A$5:$D$53,2,FALSE)</f>
        <v>Black Onyx lake &amp; pond colorant</v>
      </c>
      <c r="B68" s="44" t="str">
        <f>VLOOKUP($C68,'Article Reference'!$A$5:$D$53,3,FALSE)</f>
        <v>4 x 1 gal</v>
      </c>
      <c r="C68" s="86">
        <v>59013424</v>
      </c>
      <c r="D68" s="45">
        <f>VLOOKUP($C68,'Article Reference'!$A$5:$D$53,4,FALSE)</f>
        <v>480</v>
      </c>
      <c r="E68" s="228"/>
      <c r="F68" s="112">
        <v>0</v>
      </c>
      <c r="G68" s="46">
        <f t="shared" si="9"/>
        <v>0</v>
      </c>
      <c r="H68" s="231"/>
      <c r="I68" s="232"/>
      <c r="J68" s="47">
        <f>IF(ISNA(VLOOKUP($C68,'Coverage Reference'!$B$6:$H$21,4,FALSE))=TRUE,0,VLOOKUP($C68,'Coverage Reference'!$B$6:$H$21,4,FALSE)*(F68+H68))</f>
        <v>0</v>
      </c>
      <c r="K68" s="47">
        <f>IF(ISNA(VLOOKUP($C68,'Coverage Reference'!$B$6:$H$21,5,FALSE))=TRUE,0,VLOOKUP($C68,'Coverage Reference'!$B$6:$H$21,5,FALSE)*(F68+H68))</f>
        <v>0</v>
      </c>
      <c r="L68" s="47">
        <f>IF(ISNA(VLOOKUP($C68,'Coverage Reference'!$B$6:$H$21,6,FALSE))=TRUE,0,VLOOKUP($C68,'Coverage Reference'!$B$6:$H$21,6,FALSE)*(F68+H68))</f>
        <v>0</v>
      </c>
      <c r="M68" s="111"/>
    </row>
    <row r="69" spans="1:13" x14ac:dyDescent="0.2">
      <c r="A69" s="43" t="str">
        <f>VLOOKUP($C69,'Article Reference'!$A$5:$D$53,2,FALSE)</f>
        <v>Green Lawnger® colorant</v>
      </c>
      <c r="B69" s="44" t="str">
        <f>VLOOKUP($C69,'Article Reference'!$A$5:$D$53,3,FALSE)</f>
        <v>2 x 2.5 gal</v>
      </c>
      <c r="C69" s="86">
        <v>59013430</v>
      </c>
      <c r="D69" s="45">
        <f>VLOOKUP($C69,'Article Reference'!$A$5:$D$53,4,FALSE)</f>
        <v>418.75</v>
      </c>
      <c r="E69" s="228"/>
      <c r="F69" s="112">
        <v>0</v>
      </c>
      <c r="G69" s="46">
        <f t="shared" si="5"/>
        <v>0</v>
      </c>
      <c r="H69" s="231"/>
      <c r="I69" s="232"/>
      <c r="J69" s="47">
        <f>IF(ISNA(VLOOKUP($C69,'Coverage Reference'!$B$6:$H$21,4,FALSE))=TRUE,0,VLOOKUP($C69,'Coverage Reference'!$B$6:$H$21,4,FALSE)*(F69+H69))</f>
        <v>0</v>
      </c>
      <c r="K69" s="47">
        <f>IF(ISNA(VLOOKUP($C69,'Coverage Reference'!$B$6:$H$21,5,FALSE))=TRUE,0,VLOOKUP($C69,'Coverage Reference'!$B$6:$H$21,5,FALSE)*(F69+H69))</f>
        <v>0</v>
      </c>
      <c r="L69" s="47">
        <f>IF(ISNA(VLOOKUP($C69,'Coverage Reference'!$B$6:$H$21,6,FALSE))=TRUE,0,VLOOKUP($C69,'Coverage Reference'!$B$6:$H$21,6,FALSE)*(F69+H69))</f>
        <v>0</v>
      </c>
      <c r="M69" s="111"/>
    </row>
    <row r="70" spans="1:13" x14ac:dyDescent="0.2">
      <c r="A70" s="43" t="str">
        <f>VLOOKUP($C70,'Article Reference'!$A$5:$D$53,2,FALSE)</f>
        <v>Green Lawnger® Transition HC colorant</v>
      </c>
      <c r="B70" s="44" t="str">
        <f>VLOOKUP($C70,'Article Reference'!$A$5:$D$53,3,FALSE)</f>
        <v>4 x 1 gal</v>
      </c>
      <c r="C70" s="86">
        <v>59013410</v>
      </c>
      <c r="D70" s="45">
        <f>VLOOKUP($C70,'Article Reference'!$A$5:$D$53,4,FALSE)</f>
        <v>875</v>
      </c>
      <c r="E70" s="228"/>
      <c r="F70" s="112">
        <v>0</v>
      </c>
      <c r="G70" s="46">
        <f t="shared" si="5"/>
        <v>0</v>
      </c>
      <c r="H70" s="231"/>
      <c r="I70" s="232"/>
      <c r="J70" s="47">
        <f>IF(ISNA(VLOOKUP($C70,'Coverage Reference'!$B$6:$H$21,4,FALSE))=TRUE,0,VLOOKUP($C70,'Coverage Reference'!$B$6:$H$21,4,FALSE)*(F70+H70))</f>
        <v>0</v>
      </c>
      <c r="K70" s="47">
        <f>IF(ISNA(VLOOKUP($C70,'Coverage Reference'!$B$6:$H$21,5,FALSE))=TRUE,0,VLOOKUP($C70,'Coverage Reference'!$B$6:$H$21,5,FALSE)*(F70+H70))</f>
        <v>0</v>
      </c>
      <c r="L70" s="47">
        <f>IF(ISNA(VLOOKUP($C70,'Coverage Reference'!$B$6:$H$21,6,FALSE))=TRUE,0,VLOOKUP($C70,'Coverage Reference'!$B$6:$H$21,6,FALSE)*(F70+H70))</f>
        <v>0</v>
      </c>
      <c r="M70" s="111"/>
    </row>
    <row r="71" spans="1:13" x14ac:dyDescent="0.2">
      <c r="A71" s="43" t="str">
        <f>VLOOKUP($C71,'Article Reference'!$A$5:$D$53,2,FALSE)</f>
        <v>Green Lawnger® Transition HC colorant</v>
      </c>
      <c r="B71" s="44" t="str">
        <f>VLOOKUP($C71,'Article Reference'!$A$5:$D$53,3,FALSE)</f>
        <v>1 x 30 gal</v>
      </c>
      <c r="C71" s="86">
        <v>59023772</v>
      </c>
      <c r="D71" s="45">
        <f>VLOOKUP($C71,'Article Reference'!$A$5:$D$53,4,FALSE)</f>
        <v>2652</v>
      </c>
      <c r="E71" s="228"/>
      <c r="F71" s="112">
        <v>0</v>
      </c>
      <c r="G71" s="46">
        <f t="shared" ref="G71" si="10">F71*D71</f>
        <v>0</v>
      </c>
      <c r="H71" s="231"/>
      <c r="I71" s="232"/>
      <c r="J71" s="47"/>
      <c r="K71" s="47"/>
      <c r="L71" s="47"/>
      <c r="M71" s="111"/>
    </row>
    <row r="72" spans="1:13" x14ac:dyDescent="0.2">
      <c r="A72" s="43" t="str">
        <f>VLOOKUP($C72,'Article Reference'!$A$5:$D$53,2,FALSE)</f>
        <v>Green Lawnger® Vision Pro colorant</v>
      </c>
      <c r="B72" s="44" t="str">
        <f>VLOOKUP($C72,'Article Reference'!$A$5:$D$53,3,FALSE)</f>
        <v>4 x 1 gal</v>
      </c>
      <c r="C72" s="86">
        <v>59013342</v>
      </c>
      <c r="D72" s="45">
        <f>VLOOKUP($C72,'Article Reference'!$A$5:$D$53,4,FALSE)</f>
        <v>790</v>
      </c>
      <c r="E72" s="228"/>
      <c r="F72" s="112">
        <v>0</v>
      </c>
      <c r="G72" s="46">
        <f t="shared" si="5"/>
        <v>0</v>
      </c>
      <c r="H72" s="231"/>
      <c r="I72" s="232"/>
      <c r="J72" s="47">
        <f>IF(ISNA(VLOOKUP($C72,'Coverage Reference'!$B$6:$H$21,4,FALSE))=TRUE,0,VLOOKUP($C72,'Coverage Reference'!$B$6:$H$21,4,FALSE)*(F72+H72))</f>
        <v>0</v>
      </c>
      <c r="K72" s="47">
        <f>IF(ISNA(VLOOKUP($C72,'Coverage Reference'!$B$6:$H$21,5,FALSE))=TRUE,0,VLOOKUP($C72,'Coverage Reference'!$B$6:$H$21,5,FALSE)*(F72+H72))</f>
        <v>0</v>
      </c>
      <c r="L72" s="47">
        <f>IF(ISNA(VLOOKUP($C72,'Coverage Reference'!$B$6:$H$21,6,FALSE))=TRUE,0,VLOOKUP($C72,'Coverage Reference'!$B$6:$H$21,6,FALSE)*(F72+H72))</f>
        <v>0</v>
      </c>
      <c r="M72" s="111"/>
    </row>
    <row r="73" spans="1:13" x14ac:dyDescent="0.2">
      <c r="A73" s="213" t="s">
        <v>238</v>
      </c>
      <c r="B73" s="214"/>
      <c r="C73" s="214"/>
      <c r="D73" s="215"/>
      <c r="E73" s="228"/>
      <c r="F73" s="216"/>
      <c r="G73" s="217"/>
      <c r="H73" s="231"/>
      <c r="I73" s="232"/>
      <c r="J73" s="47"/>
      <c r="K73" s="47"/>
      <c r="L73" s="47"/>
      <c r="M73" s="111"/>
    </row>
    <row r="74" spans="1:13" x14ac:dyDescent="0.2">
      <c r="A74" s="43" t="str">
        <f>VLOOKUP($C74,'Article Reference'!$A$5:$D$53,2,FALSE)</f>
        <v>Turf Mark spray indicator - blue</v>
      </c>
      <c r="B74" s="44" t="str">
        <f>VLOOKUP($C74,'Article Reference'!$A$5:$D$53,3,FALSE)</f>
        <v>12 x 0.25 gal</v>
      </c>
      <c r="C74" s="86">
        <v>59013723</v>
      </c>
      <c r="D74" s="45">
        <f>VLOOKUP($C74,'Article Reference'!$A$5:$D$53,4,FALSE)</f>
        <v>273.75</v>
      </c>
      <c r="E74" s="228"/>
      <c r="F74" s="112">
        <v>0</v>
      </c>
      <c r="G74" s="46">
        <f t="shared" si="5"/>
        <v>0</v>
      </c>
      <c r="H74" s="231"/>
      <c r="I74" s="232"/>
      <c r="J74" s="47">
        <f>IF(ISNA(VLOOKUP($C74,'Coverage Reference'!$B$6:$H$21,4,FALSE))=TRUE,0,VLOOKUP($C74,'Coverage Reference'!$B$6:$H$21,4,FALSE)*(F74+H74))</f>
        <v>0</v>
      </c>
      <c r="K74" s="47">
        <f>IF(ISNA(VLOOKUP($C74,'Coverage Reference'!$B$6:$H$21,5,FALSE))=TRUE,0,VLOOKUP($C74,'Coverage Reference'!$B$6:$H$21,5,FALSE)*(F74+H74))</f>
        <v>0</v>
      </c>
      <c r="L74" s="47">
        <f>IF(ISNA(VLOOKUP($C74,'Coverage Reference'!$B$6:$H$21,6,FALSE))=TRUE,0,VLOOKUP($C74,'Coverage Reference'!$B$6:$H$21,6,FALSE)*(F74+H74))</f>
        <v>0</v>
      </c>
      <c r="M74" s="111"/>
    </row>
    <row r="75" spans="1:13" x14ac:dyDescent="0.2">
      <c r="A75" s="43" t="str">
        <f>VLOOKUP($C75,'Article Reference'!$A$5:$D$53,2,FALSE)</f>
        <v>Turf Mark spray indicator - blue</v>
      </c>
      <c r="B75" s="44" t="str">
        <f>VLOOKUP($C75,'Article Reference'!$A$5:$D$53,3,FALSE)</f>
        <v>1 x 30 gal</v>
      </c>
      <c r="C75" s="86">
        <v>59013314</v>
      </c>
      <c r="D75" s="45">
        <f>VLOOKUP($C75,'Article Reference'!$A$5:$D$53,4,FALSE)</f>
        <v>1717.5</v>
      </c>
      <c r="E75" s="228"/>
      <c r="F75" s="112">
        <v>0</v>
      </c>
      <c r="G75" s="46">
        <f t="shared" si="5"/>
        <v>0</v>
      </c>
      <c r="H75" s="231"/>
      <c r="I75" s="232"/>
      <c r="J75" s="47">
        <f>IF(ISNA(VLOOKUP($C75,'Coverage Reference'!$B$6:$H$21,4,FALSE))=TRUE,0,VLOOKUP($C75,'Coverage Reference'!$B$6:$H$21,4,FALSE)*(F75+H75))</f>
        <v>0</v>
      </c>
      <c r="K75" s="47">
        <f>IF(ISNA(VLOOKUP($C75,'Coverage Reference'!$B$6:$H$21,5,FALSE))=TRUE,0,VLOOKUP($C75,'Coverage Reference'!$B$6:$H$21,5,FALSE)*(F75+H75))</f>
        <v>0</v>
      </c>
      <c r="L75" s="47">
        <f>IF(ISNA(VLOOKUP($C75,'Coverage Reference'!$B$6:$H$21,6,FALSE))=TRUE,0,VLOOKUP($C75,'Coverage Reference'!$B$6:$H$21,6,FALSE)*(F75+H75))</f>
        <v>0</v>
      </c>
      <c r="M75" s="111"/>
    </row>
    <row r="76" spans="1:13" x14ac:dyDescent="0.2">
      <c r="A76" s="43" t="str">
        <f>VLOOKUP($C76,'Article Reference'!$A$5:$D$53,2,FALSE)</f>
        <v>Turf Mark spray indicator - blue</v>
      </c>
      <c r="B76" s="44" t="str">
        <f>VLOOKUP($C76,'Article Reference'!$A$5:$D$53,3,FALSE)</f>
        <v>2 x 2.5 gal</v>
      </c>
      <c r="C76" s="86">
        <v>59030213</v>
      </c>
      <c r="D76" s="45">
        <f>VLOOKUP($C76,'Article Reference'!$A$5:$D$53,4,FALSE)</f>
        <v>305.63</v>
      </c>
      <c r="E76" s="228"/>
      <c r="F76" s="112">
        <v>0</v>
      </c>
      <c r="G76" s="46">
        <f t="shared" si="5"/>
        <v>0</v>
      </c>
      <c r="H76" s="231"/>
      <c r="I76" s="232"/>
      <c r="J76" s="47">
        <f>IF(ISNA(VLOOKUP($C76,'Coverage Reference'!$B$6:$H$21,4,FALSE))=TRUE,0,VLOOKUP($C76,'Coverage Reference'!$B$6:$H$21,4,FALSE)*(F76+H76))</f>
        <v>0</v>
      </c>
      <c r="K76" s="47">
        <f>IF(ISNA(VLOOKUP($C76,'Coverage Reference'!$B$6:$H$21,5,FALSE))=TRUE,0,VLOOKUP($C76,'Coverage Reference'!$B$6:$H$21,5,FALSE)*(F76+H76))</f>
        <v>0</v>
      </c>
      <c r="L76" s="47">
        <f>IF(ISNA(VLOOKUP($C76,'Coverage Reference'!$B$6:$H$21,6,FALSE))=TRUE,0,VLOOKUP($C76,'Coverage Reference'!$B$6:$H$21,6,FALSE)*(F76+H76))</f>
        <v>0</v>
      </c>
      <c r="M76" s="111"/>
    </row>
    <row r="77" spans="1:13" x14ac:dyDescent="0.2">
      <c r="A77" s="43" t="str">
        <f>VLOOKUP($C77,'Article Reference'!$A$5:$D$53,2,FALSE)</f>
        <v>Turf Mark spray indicator - blue</v>
      </c>
      <c r="B77" s="44" t="str">
        <f>VLOOKUP($C77,'Article Reference'!$A$5:$D$53,3,FALSE)</f>
        <v>4 x 1 gal</v>
      </c>
      <c r="C77" s="86">
        <v>59013420</v>
      </c>
      <c r="D77" s="45">
        <f>VLOOKUP($C77,'Article Reference'!$A$5:$D$53,4,FALSE)</f>
        <v>262.5</v>
      </c>
      <c r="E77" s="182"/>
      <c r="F77" s="112">
        <v>0</v>
      </c>
      <c r="G77" s="46">
        <f t="shared" ref="G77" si="11">F77*D77</f>
        <v>0</v>
      </c>
      <c r="H77" s="231"/>
      <c r="I77" s="232"/>
      <c r="J77" s="47"/>
      <c r="K77" s="47"/>
      <c r="L77" s="47"/>
      <c r="M77" s="111"/>
    </row>
    <row r="78" spans="1:13" x14ac:dyDescent="0.2">
      <c r="A78" s="226" t="s">
        <v>128</v>
      </c>
      <c r="B78" s="226"/>
      <c r="C78" s="226"/>
      <c r="D78" s="226"/>
      <c r="E78" s="226"/>
      <c r="F78" s="140"/>
      <c r="G78" s="141">
        <f>SUM(G44:G77)</f>
        <v>0</v>
      </c>
      <c r="H78" s="233"/>
      <c r="I78" s="234"/>
      <c r="J78" s="224">
        <f>G78</f>
        <v>0</v>
      </c>
      <c r="K78" s="224"/>
      <c r="L78" s="224"/>
    </row>
    <row r="83" spans="1:9" ht="12.75" customHeight="1" x14ac:dyDescent="0.2">
      <c r="A83" s="208" t="s">
        <v>269</v>
      </c>
      <c r="B83" s="208"/>
      <c r="C83" s="208"/>
      <c r="D83" s="208"/>
      <c r="E83" s="208"/>
      <c r="F83" s="208"/>
      <c r="G83" s="208"/>
      <c r="H83" s="208"/>
      <c r="I83" s="208"/>
    </row>
    <row r="84" spans="1:9" x14ac:dyDescent="0.2">
      <c r="A84" s="208"/>
      <c r="B84" s="208"/>
      <c r="C84" s="208"/>
      <c r="D84" s="208"/>
      <c r="E84" s="208"/>
      <c r="F84" s="208"/>
      <c r="G84" s="208"/>
      <c r="H84" s="208"/>
      <c r="I84" s="208"/>
    </row>
    <row r="85" spans="1:9" x14ac:dyDescent="0.2">
      <c r="A85" s="208"/>
      <c r="B85" s="208"/>
      <c r="C85" s="208"/>
      <c r="D85" s="208"/>
      <c r="E85" s="208"/>
      <c r="F85" s="208"/>
      <c r="G85" s="208"/>
      <c r="H85" s="208"/>
      <c r="I85" s="208"/>
    </row>
    <row r="86" spans="1:9" x14ac:dyDescent="0.2">
      <c r="A86" s="208"/>
      <c r="B86" s="208"/>
      <c r="C86" s="208"/>
      <c r="D86" s="208"/>
      <c r="E86" s="208"/>
      <c r="F86" s="208"/>
      <c r="G86" s="208"/>
      <c r="H86" s="208"/>
      <c r="I86" s="208"/>
    </row>
    <row r="87" spans="1:9" x14ac:dyDescent="0.2">
      <c r="A87" s="208"/>
      <c r="B87" s="208"/>
      <c r="C87" s="208"/>
      <c r="D87" s="208"/>
      <c r="E87" s="208"/>
      <c r="F87" s="208"/>
      <c r="G87" s="208"/>
      <c r="H87" s="208"/>
      <c r="I87" s="208"/>
    </row>
    <row r="88" spans="1:9" x14ac:dyDescent="0.2">
      <c r="A88" s="208"/>
      <c r="B88" s="208"/>
      <c r="C88" s="208"/>
      <c r="D88" s="208"/>
      <c r="E88" s="208"/>
      <c r="F88" s="208"/>
      <c r="G88" s="208"/>
      <c r="H88" s="208"/>
      <c r="I88" s="208"/>
    </row>
    <row r="89" spans="1:9" x14ac:dyDescent="0.2">
      <c r="A89" s="208"/>
      <c r="B89" s="208"/>
      <c r="C89" s="208"/>
      <c r="D89" s="208"/>
      <c r="E89" s="208"/>
      <c r="F89" s="208"/>
      <c r="G89" s="208"/>
      <c r="H89" s="208"/>
      <c r="I89" s="208"/>
    </row>
    <row r="90" spans="1:9" x14ac:dyDescent="0.2">
      <c r="A90" s="208"/>
      <c r="B90" s="208"/>
      <c r="C90" s="208"/>
      <c r="D90" s="208"/>
      <c r="E90" s="208"/>
      <c r="F90" s="208"/>
      <c r="G90" s="208"/>
      <c r="H90" s="208"/>
      <c r="I90" s="208"/>
    </row>
    <row r="91" spans="1:9" x14ac:dyDescent="0.2">
      <c r="A91" s="208"/>
      <c r="B91" s="208"/>
      <c r="C91" s="208"/>
      <c r="D91" s="208"/>
      <c r="E91" s="208"/>
      <c r="F91" s="208"/>
      <c r="G91" s="208"/>
      <c r="H91" s="208"/>
      <c r="I91" s="208"/>
    </row>
    <row r="92" spans="1:9" x14ac:dyDescent="0.2">
      <c r="A92" s="208"/>
      <c r="B92" s="208"/>
      <c r="C92" s="208"/>
      <c r="D92" s="208"/>
      <c r="E92" s="208"/>
      <c r="F92" s="208"/>
      <c r="G92" s="208"/>
      <c r="H92" s="208"/>
      <c r="I92" s="208"/>
    </row>
  </sheetData>
  <sheetProtection algorithmName="SHA-512" hashValue="wEIy/s2tQdYBzGGjPYpLN0f+QeaMCaKgXwWIrFgf6NQfC4oOJJuzgh/zkGqPGFH3atvESBYyhAjvE3trCIfeig==" saltValue="Z2Gxo5g9LkJ1aU1vqqBkXQ==" spinCount="100000" sheet="1" objects="1" scenarios="1"/>
  <protectedRanges>
    <protectedRange sqref="F29:F37 H29:H37" name="Range1"/>
    <protectedRange sqref="F44:F48 H26:H28 F26:F28 H38:H40 F38:F40 F55:F65 H44:H77 F67:F72 F74:F77 F50:F53" name="Range2"/>
  </protectedRanges>
  <mergeCells count="56">
    <mergeCell ref="P31:P32"/>
    <mergeCell ref="Q31:Q32"/>
    <mergeCell ref="P33:P34"/>
    <mergeCell ref="Q33:Q34"/>
    <mergeCell ref="A7:I7"/>
    <mergeCell ref="P15:Q15"/>
    <mergeCell ref="P16:Q17"/>
    <mergeCell ref="Q18:Q19"/>
    <mergeCell ref="P18:P19"/>
    <mergeCell ref="P20:P21"/>
    <mergeCell ref="Q20:Q21"/>
    <mergeCell ref="P26:P28"/>
    <mergeCell ref="Q26:Q28"/>
    <mergeCell ref="Q29:Q30"/>
    <mergeCell ref="Q22:Q23"/>
    <mergeCell ref="P22:P23"/>
    <mergeCell ref="H42:I78"/>
    <mergeCell ref="A8:I8"/>
    <mergeCell ref="A9:I9"/>
    <mergeCell ref="A16:I16"/>
    <mergeCell ref="H20:I20"/>
    <mergeCell ref="B17:C17"/>
    <mergeCell ref="H18:I18"/>
    <mergeCell ref="H17:I17"/>
    <mergeCell ref="H21:I21"/>
    <mergeCell ref="D19:G19"/>
    <mergeCell ref="D18:G18"/>
    <mergeCell ref="B21:C21"/>
    <mergeCell ref="D17:G17"/>
    <mergeCell ref="D21:G21"/>
    <mergeCell ref="H19:I19"/>
    <mergeCell ref="D20:G20"/>
    <mergeCell ref="A43:D43"/>
    <mergeCell ref="A49:D49"/>
    <mergeCell ref="A54:D54"/>
    <mergeCell ref="A66:D66"/>
    <mergeCell ref="F43:G43"/>
    <mergeCell ref="F49:G49"/>
    <mergeCell ref="F54:G54"/>
    <mergeCell ref="F66:G66"/>
    <mergeCell ref="P29:P30"/>
    <mergeCell ref="A83:I92"/>
    <mergeCell ref="B20:C20"/>
    <mergeCell ref="A18:A19"/>
    <mergeCell ref="B18:C19"/>
    <mergeCell ref="A73:D73"/>
    <mergeCell ref="F73:G73"/>
    <mergeCell ref="D23:G23"/>
    <mergeCell ref="H23:I23"/>
    <mergeCell ref="D22:G22"/>
    <mergeCell ref="H22:I22"/>
    <mergeCell ref="J78:L78"/>
    <mergeCell ref="J41:L41"/>
    <mergeCell ref="A41:E41"/>
    <mergeCell ref="A78:E78"/>
    <mergeCell ref="E42:E76"/>
  </mergeCells>
  <conditionalFormatting sqref="B17">
    <cfRule type="cellIs" dxfId="16" priority="66" operator="equal">
      <formula>"October Rebate Locked"</formula>
    </cfRule>
    <cfRule type="cellIs" dxfId="15" priority="68" operator="equal">
      <formula>"Nov-Dec Rebate Locked"</formula>
    </cfRule>
    <cfRule type="cellIs" dxfId="14" priority="69" operator="equal">
      <formula>"Rebate Level Not Achieved"</formula>
    </cfRule>
  </conditionalFormatting>
  <conditionalFormatting sqref="B21">
    <cfRule type="cellIs" dxfId="13" priority="45" operator="equal">
      <formula>"Not Achieved"</formula>
    </cfRule>
  </conditionalFormatting>
  <conditionalFormatting sqref="B18">
    <cfRule type="cellIs" dxfId="12" priority="33" operator="equal">
      <formula>"Not Achieved"</formula>
    </cfRule>
  </conditionalFormatting>
  <conditionalFormatting sqref="B18">
    <cfRule type="cellIs" dxfId="11" priority="32" operator="equal">
      <formula>0</formula>
    </cfRule>
  </conditionalFormatting>
  <conditionalFormatting sqref="H18:I18 H20:I20">
    <cfRule type="cellIs" dxfId="10" priority="30" operator="greaterThan">
      <formula>0</formula>
    </cfRule>
  </conditionalFormatting>
  <conditionalFormatting sqref="H23">
    <cfRule type="cellIs" dxfId="9" priority="29" operator="greaterThan">
      <formula>0</formula>
    </cfRule>
  </conditionalFormatting>
  <conditionalFormatting sqref="P16">
    <cfRule type="cellIs" dxfId="8" priority="23" operator="notEqual">
      <formula>"Qualified"</formula>
    </cfRule>
    <cfRule type="cellIs" dxfId="7" priority="24" operator="equal">
      <formula>"Qualified"</formula>
    </cfRule>
  </conditionalFormatting>
  <conditionalFormatting sqref="Q20 Q25">
    <cfRule type="cellIs" dxfId="6" priority="16" operator="equal">
      <formula>"Max"</formula>
    </cfRule>
  </conditionalFormatting>
  <conditionalFormatting sqref="B22:B23">
    <cfRule type="cellIs" dxfId="5" priority="12" operator="equal">
      <formula>"Not Achieved"</formula>
    </cfRule>
  </conditionalFormatting>
  <conditionalFormatting sqref="Q26">
    <cfRule type="cellIs" dxfId="4" priority="5" operator="equal">
      <formula>"Achieved"</formula>
    </cfRule>
    <cfRule type="colorScale" priority="6">
      <colorScale>
        <cfvo type="min"/>
        <cfvo type="max"/>
        <color rgb="FFFF7128"/>
        <color rgb="FFFFEF9C"/>
      </colorScale>
    </cfRule>
  </conditionalFormatting>
  <conditionalFormatting sqref="Q29">
    <cfRule type="cellIs" dxfId="3" priority="4" operator="equal">
      <formula>"Max"</formula>
    </cfRule>
  </conditionalFormatting>
  <conditionalFormatting sqref="Q31">
    <cfRule type="cellIs" dxfId="2" priority="2" operator="equal">
      <formula>"Achieved"</formula>
    </cfRule>
    <cfRule type="colorScale" priority="3">
      <colorScale>
        <cfvo type="min"/>
        <cfvo type="max"/>
        <color rgb="FFFF7128"/>
        <color rgb="FFFFEF9C"/>
      </colorScale>
    </cfRule>
  </conditionalFormatting>
  <conditionalFormatting sqref="Q33">
    <cfRule type="cellIs" dxfId="1" priority="1" operator="equal">
      <formula>"Max"</formula>
    </cfRule>
  </conditionalFormatting>
  <dataValidations count="2">
    <dataValidation type="decimal" operator="greaterThanOrEqual" allowBlank="1" showInputMessage="1" showErrorMessage="1" sqref="F44:F48 F50:F53 F67:F72 F55:F65 F74:F77" xr:uid="{2D8F0DFB-B298-4DB5-94D4-30638B72BC83}">
      <formula1>0</formula1>
    </dataValidation>
    <dataValidation type="decimal" operator="greaterThanOrEqual" allowBlank="1" showInputMessage="1" showErrorMessage="1" error="Only Complete Case/Cube Quantities Allowed - Please Enter Whole Number" sqref="F26:F40 H26:H40" xr:uid="{4049ABF3-6682-457A-AC63-3B47CF885A93}">
      <formula1>0</formula1>
    </dataValidation>
  </dataValidations>
  <pageMargins left="0.25" right="0.25" top="0.75" bottom="0.75" header="0.3" footer="0.3"/>
  <pageSetup paperSize="9" scale="46" orientation="portrait" r:id="rId1"/>
  <headerFooter>
    <oddFooter>&amp;C_x000D_&amp;1#&amp;"Arial"&amp;10&amp;K000000 Internal</oddFooter>
  </headerFooter>
  <rowBreaks count="2" manualBreakCount="2">
    <brk id="24" max="16" man="1"/>
    <brk id="41" max="16" man="1"/>
  </rowBreaks>
  <drawing r:id="rId2"/>
  <legacyDrawing r:id="rId3"/>
  <mc:AlternateContent xmlns:mc="http://schemas.openxmlformats.org/markup-compatibility/2006">
    <mc:Choice Requires="x14">
      <controls>
        <mc:AlternateContent xmlns:mc="http://schemas.openxmlformats.org/markup-compatibility/2006">
          <mc:Choice Requires="x14">
            <control shapeId="2059" r:id="rId4" name="Button 11">
              <controlPr defaultSize="0" print="0" autoFill="0" autoPict="0" macro="[0]!Return_to_Top">
                <anchor moveWithCells="1" sizeWithCells="1">
                  <from>
                    <xdr:col>0</xdr:col>
                    <xdr:colOff>28575</xdr:colOff>
                    <xdr:row>79</xdr:row>
                    <xdr:rowOff>0</xdr:rowOff>
                  </from>
                  <to>
                    <xdr:col>9</xdr:col>
                    <xdr:colOff>0</xdr:colOff>
                    <xdr:row>80</xdr:row>
                    <xdr:rowOff>142875</xdr:rowOff>
                  </to>
                </anchor>
              </controlPr>
            </control>
          </mc:Choice>
        </mc:AlternateContent>
      </controls>
    </mc:Choice>
  </mc:AlternateContent>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tabColor theme="9" tint="0.39997558519241921"/>
    <pageSetUpPr fitToPage="1"/>
  </sheetPr>
  <dimension ref="A15:M49"/>
  <sheetViews>
    <sheetView showGridLines="0" zoomScaleNormal="100" workbookViewId="0">
      <selection activeCell="P14" sqref="P14"/>
    </sheetView>
  </sheetViews>
  <sheetFormatPr defaultColWidth="12.42578125" defaultRowHeight="12.75" x14ac:dyDescent="0.2"/>
  <cols>
    <col min="1" max="1" width="16.7109375" customWidth="1"/>
    <col min="4" max="4" width="17.28515625" customWidth="1"/>
    <col min="5" max="5" width="20.42578125" bestFit="1" customWidth="1"/>
    <col min="6" max="6" width="17.28515625" customWidth="1"/>
    <col min="7" max="7" width="20.42578125" bestFit="1" customWidth="1"/>
    <col min="8" max="8" width="17.28515625" customWidth="1"/>
    <col min="9" max="9" width="19.7109375" customWidth="1"/>
    <col min="10" max="12" width="12.42578125" hidden="1" customWidth="1"/>
    <col min="13" max="13" width="8.42578125" hidden="1" customWidth="1"/>
    <col min="14" max="14" width="10.7109375" customWidth="1"/>
  </cols>
  <sheetData>
    <row r="15" spans="1:3" x14ac:dyDescent="0.2">
      <c r="A15" s="50" t="s">
        <v>79</v>
      </c>
    </row>
    <row r="16" spans="1:3" x14ac:dyDescent="0.2">
      <c r="A16" s="262" t="s">
        <v>62</v>
      </c>
      <c r="B16" s="262"/>
      <c r="C16" s="51">
        <v>40</v>
      </c>
    </row>
    <row r="17" spans="1:13" x14ac:dyDescent="0.2">
      <c r="A17" s="262" t="s">
        <v>88</v>
      </c>
      <c r="B17" s="262"/>
      <c r="C17" s="51">
        <v>10</v>
      </c>
    </row>
    <row r="19" spans="1:13" x14ac:dyDescent="0.2">
      <c r="A19" s="52" t="s">
        <v>78</v>
      </c>
    </row>
    <row r="20" spans="1:13" ht="15" x14ac:dyDescent="0.25">
      <c r="A20" s="265" t="s">
        <v>80</v>
      </c>
      <c r="B20" s="266"/>
      <c r="C20" s="266"/>
      <c r="D20" s="266"/>
      <c r="E20" s="266"/>
      <c r="F20" s="266"/>
      <c r="G20" s="266"/>
      <c r="H20" s="266"/>
      <c r="I20" s="267"/>
      <c r="M20" t="s">
        <v>42</v>
      </c>
    </row>
    <row r="21" spans="1:13" x14ac:dyDescent="0.2">
      <c r="A21" s="269" t="s">
        <v>13</v>
      </c>
      <c r="B21" s="269" t="s">
        <v>41</v>
      </c>
      <c r="C21" s="269" t="s">
        <v>77</v>
      </c>
      <c r="D21" s="263" t="s">
        <v>17</v>
      </c>
      <c r="E21" s="264"/>
      <c r="F21" s="263" t="s">
        <v>54</v>
      </c>
      <c r="G21" s="264"/>
      <c r="H21" s="263" t="s">
        <v>46</v>
      </c>
      <c r="I21" s="264"/>
      <c r="M21" t="s">
        <v>43</v>
      </c>
    </row>
    <row r="22" spans="1:13" x14ac:dyDescent="0.2">
      <c r="A22" s="270"/>
      <c r="B22" s="270"/>
      <c r="C22" s="270"/>
      <c r="D22" s="58" t="s">
        <v>44</v>
      </c>
      <c r="E22" s="58" t="s">
        <v>45</v>
      </c>
      <c r="F22" s="58" t="s">
        <v>44</v>
      </c>
      <c r="G22" s="58" t="s">
        <v>45</v>
      </c>
      <c r="H22" s="58" t="s">
        <v>44</v>
      </c>
      <c r="I22" s="58" t="s">
        <v>45</v>
      </c>
    </row>
    <row r="23" spans="1:13" x14ac:dyDescent="0.2">
      <c r="A23" s="268" t="s">
        <v>21</v>
      </c>
      <c r="B23" s="59" t="s">
        <v>22</v>
      </c>
      <c r="C23" s="60" t="s">
        <v>42</v>
      </c>
      <c r="D23" s="61">
        <f>SUMIFS('Step 2 - Order Planner'!J$26:J$39,'Step 2 - Order Planner'!$C$26:$C$39,$K23)+SUMIFS('Step 2 - Order Planner'!J$44:J$76,'Step 2 - Order Planner'!$C$44:$C$76,$K23)</f>
        <v>0</v>
      </c>
      <c r="E23" s="61">
        <f t="shared" ref="E23:E37" si="0">IF(OR($C$16=0,$C$17=0),"Please Enter Acreage",IF(C23="Greens",D23/$C$17,IF(C23="Fairways",D23/$C$16,0)))</f>
        <v>0</v>
      </c>
      <c r="F23" s="61">
        <f>SUMIFS('Step 2 - Order Planner'!K$26:K$39,'Step 2 - Order Planner'!$C$26:$C$39,$K23)+SUMIFS('Step 2 - Order Planner'!K$44:K$76,'Step 2 - Order Planner'!$C$44:$C$76,$K23)</f>
        <v>0</v>
      </c>
      <c r="G23" s="61">
        <f>IF(OR($C$16=0,$C$17=0),"Please Enter Acreage",IF(C23="Greens",F23/$C$17,IF(C23="Fairways",F23/$C$16,0)))</f>
        <v>0</v>
      </c>
      <c r="H23" s="61">
        <f>SUMIFS('Step 2 - Order Planner'!L$26:L$39,'Step 2 - Order Planner'!$C$26:$C$39,$K23)+SUMIFS('Step 2 - Order Planner'!L$44:L$76,'Step 2 - Order Planner'!$C$44:$C$76,$K23)</f>
        <v>0</v>
      </c>
      <c r="I23" s="61">
        <f t="shared" ref="I23:I37" si="1">IF(OR($C$16=0,$C$17=0),"Please Enter Acreage",IF(C23="Greens",H23/$C$17,IF(C23="Fairways",H23/$C$16,0)))</f>
        <v>0</v>
      </c>
      <c r="K23" s="21">
        <v>59021463</v>
      </c>
      <c r="L23" s="48"/>
    </row>
    <row r="24" spans="1:13" x14ac:dyDescent="0.2">
      <c r="A24" s="268"/>
      <c r="B24" s="59" t="s">
        <v>23</v>
      </c>
      <c r="C24" s="60"/>
      <c r="D24" s="61">
        <f>SUMIFS('Step 2 - Order Planner'!J$26:J$39,'Step 2 - Order Planner'!$C$26:$C$39,$K24)+SUMIFS('Step 2 - Order Planner'!J$44:J$76,'Step 2 - Order Planner'!$C$44:$C$76,$K24)</f>
        <v>0</v>
      </c>
      <c r="E24" s="61">
        <f t="shared" si="0"/>
        <v>0</v>
      </c>
      <c r="F24" s="61">
        <f>SUMIFS('Step 2 - Order Planner'!K$26:K$39,'Step 2 - Order Planner'!$C$26:$C$39,$K24)+SUMIFS('Step 2 - Order Planner'!K$44:K$76,'Step 2 - Order Planner'!$C$44:$C$76,$K24)</f>
        <v>0</v>
      </c>
      <c r="G24" s="61">
        <f>IF(OR($C$16=0,$C$17=0),"Please Enter Acreage",IF(C24="Greens",F24/$C$17,IF(C24="Fairways",F24/$C$16,0)))</f>
        <v>0</v>
      </c>
      <c r="H24" s="61">
        <f>SUMIFS('Step 2 - Order Planner'!L$26:L$39,'Step 2 - Order Planner'!$C$26:$C$39,$K24)+SUMIFS('Step 2 - Order Planner'!L$44:L$76,'Step 2 - Order Planner'!$C$44:$C$76,$K24)</f>
        <v>0</v>
      </c>
      <c r="I24" s="61">
        <f t="shared" si="1"/>
        <v>0</v>
      </c>
      <c r="K24" s="21">
        <v>59012825</v>
      </c>
      <c r="L24" s="53"/>
    </row>
    <row r="25" spans="1:13" x14ac:dyDescent="0.2">
      <c r="A25" s="268" t="s">
        <v>27</v>
      </c>
      <c r="B25" s="59" t="s">
        <v>5</v>
      </c>
      <c r="C25" s="60"/>
      <c r="D25" s="61">
        <f>SUMIFS('Step 2 - Order Planner'!J$26:J$39,'Step 2 - Order Planner'!$C$26:$C$39,$K25)+SUMIFS('Step 2 - Order Planner'!J$44:J$76,'Step 2 - Order Planner'!$C$44:$C$76,$K25)</f>
        <v>0</v>
      </c>
      <c r="E25" s="61">
        <f t="shared" si="0"/>
        <v>0</v>
      </c>
      <c r="F25" s="61">
        <f>SUMIFS('Step 2 - Order Planner'!K$26:K$39,'Step 2 - Order Planner'!$C$26:$C$39,$K25)+SUMIFS('Step 2 - Order Planner'!K$44:K$76,'Step 2 - Order Planner'!$C$44:$C$76,$K25)</f>
        <v>0</v>
      </c>
      <c r="G25" s="61">
        <f t="shared" ref="G25:G26" si="2">IF(OR($C$16=0,$C$17=0),"Please Enter Acreage",IF(C25="Greens",F25/$C$17,IF(C25="Fairways",F25/$C$16,0)))</f>
        <v>0</v>
      </c>
      <c r="H25" s="61">
        <f>SUMIFS('Step 2 - Order Planner'!L$26:L$39,'Step 2 - Order Planner'!$C$26:$C$39,$K25)+SUMIFS('Step 2 - Order Planner'!L$44:L$76,'Step 2 - Order Planner'!$C$44:$C$76,$K25)</f>
        <v>0</v>
      </c>
      <c r="I25" s="61">
        <f t="shared" si="1"/>
        <v>0</v>
      </c>
      <c r="K25" s="21">
        <v>59012885</v>
      </c>
      <c r="L25" s="48"/>
    </row>
    <row r="26" spans="1:13" x14ac:dyDescent="0.2">
      <c r="A26" s="268"/>
      <c r="B26" s="59" t="s">
        <v>4</v>
      </c>
      <c r="C26" s="60"/>
      <c r="D26" s="61">
        <f>SUMIFS('Step 2 - Order Planner'!J$26:J$39,'Step 2 - Order Planner'!$C$26:$C$39,$K26)+SUMIFS('Step 2 - Order Planner'!J$44:J$76,'Step 2 - Order Planner'!$C$44:$C$76,$K26)</f>
        <v>0</v>
      </c>
      <c r="E26" s="61">
        <f t="shared" si="0"/>
        <v>0</v>
      </c>
      <c r="F26" s="61">
        <f>SUMIFS('Step 2 - Order Planner'!K$26:K$39,'Step 2 - Order Planner'!$C$26:$C$39,$K26)+SUMIFS('Step 2 - Order Planner'!K$44:K$76,'Step 2 - Order Planner'!$C$44:$C$76,$K26)</f>
        <v>0</v>
      </c>
      <c r="G26" s="61">
        <f t="shared" si="2"/>
        <v>0</v>
      </c>
      <c r="H26" s="61">
        <f>SUMIFS('Step 2 - Order Planner'!L$26:L$39,'Step 2 - Order Planner'!$C$26:$C$39,$K26)+SUMIFS('Step 2 - Order Planner'!L$44:L$76,'Step 2 - Order Planner'!$C$44:$C$76,$K26)</f>
        <v>0</v>
      </c>
      <c r="I26" s="61">
        <f t="shared" si="1"/>
        <v>0</v>
      </c>
      <c r="K26" s="21">
        <v>59012350</v>
      </c>
      <c r="L26" s="48"/>
    </row>
    <row r="27" spans="1:13" x14ac:dyDescent="0.2">
      <c r="A27" s="268" t="s">
        <v>28</v>
      </c>
      <c r="B27" s="59" t="s">
        <v>24</v>
      </c>
      <c r="C27" s="60"/>
      <c r="D27" s="61">
        <f>SUMIFS('Step 2 - Order Planner'!J$26:J$39,'Step 2 - Order Planner'!$C$26:$C$39,$K27)+SUMIFS('Step 2 - Order Planner'!J$44:J$76,'Step 2 - Order Planner'!$C$44:$C$76,$K27)</f>
        <v>0</v>
      </c>
      <c r="E27" s="61">
        <f t="shared" si="0"/>
        <v>0</v>
      </c>
      <c r="F27" s="61">
        <f>SUMIFS('Step 2 - Order Planner'!K$26:K$39,'Step 2 - Order Planner'!$C$26:$C$39,$K27)+SUMIFS('Step 2 - Order Planner'!K$44:K$76,'Step 2 - Order Planner'!$C$44:$C$76,$K27)</f>
        <v>0</v>
      </c>
      <c r="G27" s="61">
        <f t="shared" ref="G27:G30" si="3">IF(OR($C$16=0,$C$17=0),"Please Enter Acreage",IF(C27="Greens",F27/$C$17,IF(C27="Fairways",F27/$C$16,0)))</f>
        <v>0</v>
      </c>
      <c r="H27" s="61">
        <f>SUMIFS('Step 2 - Order Planner'!L$26:L$39,'Step 2 - Order Planner'!$C$26:$C$39,$K27)+SUMIFS('Step 2 - Order Planner'!L$44:L$76,'Step 2 - Order Planner'!$C$44:$C$76,$K27)</f>
        <v>0</v>
      </c>
      <c r="I27" s="61">
        <f t="shared" si="1"/>
        <v>0</v>
      </c>
      <c r="K27" s="21">
        <v>59014135</v>
      </c>
      <c r="L27" s="48"/>
    </row>
    <row r="28" spans="1:13" x14ac:dyDescent="0.2">
      <c r="A28" s="268"/>
      <c r="B28" s="59" t="s">
        <v>29</v>
      </c>
      <c r="C28" s="60"/>
      <c r="D28" s="61">
        <f>SUMIFS('Step 2 - Order Planner'!J$26:J$39,'Step 2 - Order Planner'!$C$26:$C$39,$K28)+SUMIFS('Step 2 - Order Planner'!J$44:J$76,'Step 2 - Order Planner'!$C$44:$C$76,$K28)</f>
        <v>0</v>
      </c>
      <c r="E28" s="61">
        <f t="shared" si="0"/>
        <v>0</v>
      </c>
      <c r="F28" s="61">
        <f>SUMIFS('Step 2 - Order Planner'!K$26:K$39,'Step 2 - Order Planner'!$C$26:$C$39,$K28)+SUMIFS('Step 2 - Order Planner'!K$44:K$76,'Step 2 - Order Planner'!$C$44:$C$76,$K28)</f>
        <v>0</v>
      </c>
      <c r="G28" s="61">
        <f t="shared" ref="G28:G29" si="4">IF(OR($C$16=0,$C$17=0),"Please Enter Acreage",IF(C28="Greens",F28/$C$17,IF(C28="Fairways",F28/$C$16,0)))</f>
        <v>0</v>
      </c>
      <c r="H28" s="61">
        <f>SUMIFS('Step 2 - Order Planner'!L$26:L$39,'Step 2 - Order Planner'!$C$26:$C$39,$K28)+SUMIFS('Step 2 - Order Planner'!L$44:L$76,'Step 2 - Order Planner'!$C$44:$C$76,$K28)</f>
        <v>0</v>
      </c>
      <c r="I28" s="61">
        <f t="shared" ref="I28:I29" si="5">IF(OR($C$16=0,$C$17=0),"Please Enter Acreage",IF(C28="Greens",H28/$C$17,IF(C28="Fairways",H28/$C$16,0)))</f>
        <v>0</v>
      </c>
      <c r="K28" s="21">
        <v>59014134</v>
      </c>
      <c r="L28" s="48"/>
    </row>
    <row r="29" spans="1:13" x14ac:dyDescent="0.2">
      <c r="A29" s="84" t="s">
        <v>25</v>
      </c>
      <c r="B29" s="59" t="s">
        <v>26</v>
      </c>
      <c r="C29" s="60"/>
      <c r="D29" s="61">
        <f>SUMIFS('Step 2 - Order Planner'!J$26:J$39,'Step 2 - Order Planner'!$C$26:$C$39,$K29)+SUMIFS('Step 2 - Order Planner'!J$44:J$76,'Step 2 - Order Planner'!$C$44:$C$76,$K29)</f>
        <v>0</v>
      </c>
      <c r="E29" s="61">
        <f t="shared" si="0"/>
        <v>0</v>
      </c>
      <c r="F29" s="61">
        <f>SUMIFS('Step 2 - Order Planner'!K$26:K$39,'Step 2 - Order Planner'!$C$26:$C$39,$K29)+SUMIFS('Step 2 - Order Planner'!K$44:K$76,'Step 2 - Order Planner'!$C$44:$C$76,$K29)</f>
        <v>0</v>
      </c>
      <c r="G29" s="61">
        <f t="shared" si="4"/>
        <v>0</v>
      </c>
      <c r="H29" s="61">
        <f>SUMIFS('Step 2 - Order Planner'!L$26:L$39,'Step 2 - Order Planner'!$C$26:$C$39,$K29)+SUMIFS('Step 2 - Order Planner'!L$44:L$76,'Step 2 - Order Planner'!$C$44:$C$76,$K29)</f>
        <v>0</v>
      </c>
      <c r="I29" s="61">
        <f t="shared" si="5"/>
        <v>0</v>
      </c>
      <c r="K29" s="21">
        <v>59013840</v>
      </c>
      <c r="L29" s="48"/>
    </row>
    <row r="30" spans="1:13" x14ac:dyDescent="0.2">
      <c r="A30" s="268" t="s">
        <v>104</v>
      </c>
      <c r="B30" s="59" t="s">
        <v>97</v>
      </c>
      <c r="C30" s="60"/>
      <c r="D30" s="61">
        <f>SUMIFS('Step 2 - Order Planner'!J$26:J$39,'Step 2 - Order Planner'!$C$26:$C$39,$K30)+SUMIFS('Step 2 - Order Planner'!J$44:J$76,'Step 2 - Order Planner'!$C$44:$C$76,$K30)</f>
        <v>0</v>
      </c>
      <c r="E30" s="61">
        <f t="shared" si="0"/>
        <v>0</v>
      </c>
      <c r="F30" s="61">
        <f>SUMIFS('Step 2 - Order Planner'!K$26:K$39,'Step 2 - Order Planner'!$C$26:$C$39,$K30)+SUMIFS('Step 2 - Order Planner'!K$44:K$76,'Step 2 - Order Planner'!$C$44:$C$76,$K30)</f>
        <v>0</v>
      </c>
      <c r="G30" s="61">
        <f t="shared" si="3"/>
        <v>0</v>
      </c>
      <c r="H30" s="61">
        <f>SUMIFS('Step 2 - Order Planner'!L$26:L$39,'Step 2 - Order Planner'!$C$26:$C$39,$K30)+SUMIFS('Step 2 - Order Planner'!L$44:L$76,'Step 2 - Order Planner'!$C$44:$C$76,$K30)</f>
        <v>0</v>
      </c>
      <c r="I30" s="61">
        <f t="shared" si="1"/>
        <v>0</v>
      </c>
      <c r="K30" s="21">
        <v>59018087</v>
      </c>
      <c r="L30" s="48"/>
    </row>
    <row r="31" spans="1:13" x14ac:dyDescent="0.2">
      <c r="A31" s="268"/>
      <c r="B31" s="59" t="s">
        <v>81</v>
      </c>
      <c r="C31" s="60"/>
      <c r="D31" s="61">
        <f>SUMIFS('Step 2 - Order Planner'!J$26:J$39,'Step 2 - Order Planner'!$C$26:$C$39,$K31)+SUMIFS('Step 2 - Order Planner'!J$44:J$76,'Step 2 - Order Planner'!$C$44:$C$76,$K31)</f>
        <v>0</v>
      </c>
      <c r="E31" s="61">
        <f t="shared" si="0"/>
        <v>0</v>
      </c>
      <c r="F31" s="61">
        <f>SUMIFS('Step 2 - Order Planner'!K$26:K$39,'Step 2 - Order Planner'!$C$26:$C$39,$K31)+SUMIFS('Step 2 - Order Planner'!K$44:K$76,'Step 2 - Order Planner'!$C$44:$C$76,$K31)</f>
        <v>0</v>
      </c>
      <c r="G31" s="61">
        <f t="shared" ref="G31:G33" si="6">IF(OR($C$16=0,$C$17=0),"Please Enter Acreage",IF(C31="Greens",F31/$C$17,IF(C31="Fairways",F31/$C$16,0)))</f>
        <v>0</v>
      </c>
      <c r="H31" s="61">
        <f>SUMIFS('Step 2 - Order Planner'!L$26:L$39,'Step 2 - Order Planner'!$C$26:$C$39,$K31)+SUMIFS('Step 2 - Order Planner'!L$44:L$76,'Step 2 - Order Planner'!$C$44:$C$76,$K31)</f>
        <v>0</v>
      </c>
      <c r="I31" s="61">
        <f t="shared" si="1"/>
        <v>0</v>
      </c>
      <c r="K31" s="21">
        <v>59018071</v>
      </c>
      <c r="L31" s="57"/>
    </row>
    <row r="32" spans="1:13" x14ac:dyDescent="0.2">
      <c r="A32" s="268" t="s">
        <v>105</v>
      </c>
      <c r="B32" s="59" t="s">
        <v>98</v>
      </c>
      <c r="C32" s="60"/>
      <c r="D32" s="61">
        <f>SUMIFS('Step 2 - Order Planner'!J$26:J$39,'Step 2 - Order Planner'!$C$26:$C$39,$K32)+SUMIFS('Step 2 - Order Planner'!J$44:J$76,'Step 2 - Order Planner'!$C$44:$C$76,$K32)</f>
        <v>0</v>
      </c>
      <c r="E32" s="61">
        <f t="shared" si="0"/>
        <v>0</v>
      </c>
      <c r="F32" s="61">
        <f>SUMIFS('Step 2 - Order Planner'!K$26:K$39,'Step 2 - Order Planner'!$C$26:$C$39,$K32)+SUMIFS('Step 2 - Order Planner'!K$44:K$76,'Step 2 - Order Planner'!$C$44:$C$76,$K32)</f>
        <v>0</v>
      </c>
      <c r="G32" s="61">
        <f t="shared" si="6"/>
        <v>0</v>
      </c>
      <c r="H32" s="61">
        <f>SUMIFS('Step 2 - Order Planner'!L$26:L$39,'Step 2 - Order Planner'!$C$26:$C$39,$K32)+SUMIFS('Step 2 - Order Planner'!L$44:L$76,'Step 2 - Order Planner'!$C$44:$C$76,$K32)</f>
        <v>0</v>
      </c>
      <c r="I32" s="61">
        <f t="shared" si="1"/>
        <v>0</v>
      </c>
      <c r="K32" s="21">
        <v>59018094</v>
      </c>
      <c r="L32" s="57"/>
    </row>
    <row r="33" spans="1:12" x14ac:dyDescent="0.2">
      <c r="A33" s="268"/>
      <c r="B33" s="59" t="s">
        <v>30</v>
      </c>
      <c r="C33" s="60"/>
      <c r="D33" s="61">
        <f>SUMIFS('Step 2 - Order Planner'!J$26:J$39,'Step 2 - Order Planner'!$C$26:$C$39,$K33)+SUMIFS('Step 2 - Order Planner'!J$44:J$76,'Step 2 - Order Planner'!$C$44:$C$76,$K33)</f>
        <v>0</v>
      </c>
      <c r="E33" s="61">
        <f t="shared" si="0"/>
        <v>0</v>
      </c>
      <c r="F33" s="61">
        <f>SUMIFS('Step 2 - Order Planner'!K$26:K$39,'Step 2 - Order Planner'!$C$26:$C$39,$K33)+SUMIFS('Step 2 - Order Planner'!K$44:K$76,'Step 2 - Order Planner'!$C$44:$C$76,$K33)</f>
        <v>0</v>
      </c>
      <c r="G33" s="61">
        <f t="shared" si="6"/>
        <v>0</v>
      </c>
      <c r="H33" s="61">
        <f>SUMIFS('Step 2 - Order Planner'!L$26:L$39,'Step 2 - Order Planner'!$C$26:$C$39,$K33)+SUMIFS('Step 2 - Order Planner'!L$44:L$76,'Step 2 - Order Planner'!$C$44:$C$76,$K33)</f>
        <v>0</v>
      </c>
      <c r="I33" s="61">
        <f t="shared" si="1"/>
        <v>0</v>
      </c>
      <c r="K33" s="21">
        <v>59018095</v>
      </c>
      <c r="L33" s="57"/>
    </row>
    <row r="34" spans="1:12" x14ac:dyDescent="0.2">
      <c r="A34" s="268" t="s">
        <v>52</v>
      </c>
      <c r="B34" s="59" t="s">
        <v>94</v>
      </c>
      <c r="C34" s="60"/>
      <c r="D34" s="61">
        <f>SUMIFS('Step 2 - Order Planner'!J$26:J$39,'Step 2 - Order Planner'!$C$26:$C$39,$K34)+SUMIFS('Step 2 - Order Planner'!J$44:J$76,'Step 2 - Order Planner'!$C$44:$C$76,$K34)</f>
        <v>0</v>
      </c>
      <c r="E34" s="61">
        <f t="shared" si="0"/>
        <v>0</v>
      </c>
      <c r="F34" s="61">
        <f>SUMIFS('Step 2 - Order Planner'!K$26:K$39,'Step 2 - Order Planner'!$C$26:$C$39,$K34)+SUMIFS('Step 2 - Order Planner'!K$44:K$76,'Step 2 - Order Planner'!$C$44:$C$76,$K34)</f>
        <v>0</v>
      </c>
      <c r="G34" s="61">
        <f t="shared" ref="G34:G37" si="7">IF(OR($C$16=0,$C$17=0),"Please Enter Acreage",IF(C34="Greens",F34/$C$17,IF(C34="Fairways",F34/$C$16,0)))</f>
        <v>0</v>
      </c>
      <c r="H34" s="61">
        <f>SUMIFS('Step 2 - Order Planner'!L$26:L$39,'Step 2 - Order Planner'!$C$26:$C$39,$K34)+SUMIFS('Step 2 - Order Planner'!L$44:L$76,'Step 2 - Order Planner'!$C$44:$C$76,$K34)</f>
        <v>0</v>
      </c>
      <c r="I34" s="61">
        <f t="shared" si="1"/>
        <v>0</v>
      </c>
      <c r="K34" s="21">
        <v>59017959</v>
      </c>
      <c r="L34" s="54"/>
    </row>
    <row r="35" spans="1:12" x14ac:dyDescent="0.2">
      <c r="A35" s="268"/>
      <c r="B35" s="59" t="s">
        <v>53</v>
      </c>
      <c r="C35" s="60"/>
      <c r="D35" s="61">
        <f>SUMIFS('Step 2 - Order Planner'!J$26:J$39,'Step 2 - Order Planner'!$C$26:$C$39,$K35)+SUMIFS('Step 2 - Order Planner'!J$44:J$76,'Step 2 - Order Planner'!$C$44:$C$76,$K35)</f>
        <v>0</v>
      </c>
      <c r="E35" s="61">
        <f t="shared" si="0"/>
        <v>0</v>
      </c>
      <c r="F35" s="61">
        <f>SUMIFS('Step 2 - Order Planner'!K$26:K$39,'Step 2 - Order Planner'!$C$26:$C$39,$K35)+SUMIFS('Step 2 - Order Planner'!K$44:K$76,'Step 2 - Order Planner'!$C$44:$C$76,$K35)</f>
        <v>0</v>
      </c>
      <c r="G35" s="61">
        <f t="shared" si="7"/>
        <v>0</v>
      </c>
      <c r="H35" s="61">
        <f>SUMIFS('Step 2 - Order Planner'!L$26:L$39,'Step 2 - Order Planner'!$C$26:$C$39,$K35)+SUMIFS('Step 2 - Order Planner'!L$44:L$76,'Step 2 - Order Planner'!$C$44:$C$76,$K35)</f>
        <v>0</v>
      </c>
      <c r="I35" s="61">
        <f t="shared" si="1"/>
        <v>0</v>
      </c>
      <c r="K35" s="21">
        <v>59012784</v>
      </c>
      <c r="L35" s="48"/>
    </row>
    <row r="36" spans="1:12" x14ac:dyDescent="0.2">
      <c r="A36" s="268" t="s">
        <v>19</v>
      </c>
      <c r="B36" s="59" t="s">
        <v>20</v>
      </c>
      <c r="C36" s="60"/>
      <c r="D36" s="61">
        <f>SUMIFS('Step 2 - Order Planner'!J$26:J$39,'Step 2 - Order Planner'!$C$26:$C$39,$K36)+SUMIFS('Step 2 - Order Planner'!J$44:J$76,'Step 2 - Order Planner'!$C$44:$C$76,$K36)</f>
        <v>0</v>
      </c>
      <c r="E36" s="61">
        <f>IF(OR($C$16=0,$C$17=0),"Please Enter Acreage",IF(C36="Greens",D36/$C$17,IF(C36="Fairways",D36/$C$16,0)))</f>
        <v>0</v>
      </c>
      <c r="F36" s="61">
        <f>SUMIFS('Step 2 - Order Planner'!K$26:K$39,'Step 2 - Order Planner'!$C$26:$C$39,$K36)+SUMIFS('Step 2 - Order Planner'!K$44:K$76,'Step 2 - Order Planner'!$C$44:$C$76,$K36)</f>
        <v>0</v>
      </c>
      <c r="G36" s="61">
        <f t="shared" ref="G36" si="8">IF(OR($C$16=0,$C$17=0),"Please Enter Acreage",IF(C36="Greens",F36/$C$17,IF(C36="Fairways",F36/$C$16,0)))</f>
        <v>0</v>
      </c>
      <c r="H36" s="61">
        <f>SUMIFS('Step 2 - Order Planner'!L$26:L$39,'Step 2 - Order Planner'!$C$26:$C$39,$K36)+SUMIFS('Step 2 - Order Planner'!L$44:L$76,'Step 2 - Order Planner'!$C$44:$C$76,$K36)</f>
        <v>0</v>
      </c>
      <c r="I36" s="61">
        <f t="shared" ref="I36" si="9">IF(OR($C$16=0,$C$17=0),"Please Enter Acreage",IF(C36="Greens",H36/$C$17,IF(C36="Fairways",H36/$C$16,0)))</f>
        <v>0</v>
      </c>
      <c r="K36" s="21">
        <v>59013833</v>
      </c>
      <c r="L36" s="48"/>
    </row>
    <row r="37" spans="1:12" x14ac:dyDescent="0.2">
      <c r="A37" s="268"/>
      <c r="B37" s="59" t="s">
        <v>9</v>
      </c>
      <c r="C37" s="60"/>
      <c r="D37" s="61">
        <f>SUMIFS('Step 2 - Order Planner'!J$26:J$39,'Step 2 - Order Planner'!$C$26:$C$39,$K37)+SUMIFS('Step 2 - Order Planner'!J$44:J$76,'Step 2 - Order Planner'!$C$44:$C$76,$K37)</f>
        <v>0</v>
      </c>
      <c r="E37" s="61">
        <f t="shared" si="0"/>
        <v>0</v>
      </c>
      <c r="F37" s="61">
        <f>SUMIFS('Step 2 - Order Planner'!K$26:K$39,'Step 2 - Order Planner'!$C$26:$C$39,$K37)+SUMIFS('Step 2 - Order Planner'!K$44:K$76,'Step 2 - Order Planner'!$C$44:$C$76,$K37)</f>
        <v>0</v>
      </c>
      <c r="G37" s="61">
        <f t="shared" si="7"/>
        <v>0</v>
      </c>
      <c r="H37" s="61">
        <f>SUMIFS('Step 2 - Order Planner'!L$26:L$39,'Step 2 - Order Planner'!$C$26:$C$39,$K37)+SUMIFS('Step 2 - Order Planner'!L$44:L$76,'Step 2 - Order Planner'!$C$44:$C$76,$K37)</f>
        <v>0</v>
      </c>
      <c r="I37" s="61">
        <f t="shared" si="1"/>
        <v>0</v>
      </c>
      <c r="K37" s="21">
        <v>59014120</v>
      </c>
      <c r="L37" s="54"/>
    </row>
    <row r="40" spans="1:12" ht="12.75" customHeight="1" x14ac:dyDescent="0.2">
      <c r="A40" s="208" t="s">
        <v>101</v>
      </c>
      <c r="B40" s="208"/>
      <c r="C40" s="208"/>
      <c r="D40" s="208"/>
      <c r="E40" s="208"/>
      <c r="F40" s="208"/>
      <c r="G40" s="208"/>
      <c r="H40" s="208"/>
      <c r="I40" s="208"/>
    </row>
    <row r="41" spans="1:12" x14ac:dyDescent="0.2">
      <c r="A41" s="208"/>
      <c r="B41" s="208"/>
      <c r="C41" s="208"/>
      <c r="D41" s="208"/>
      <c r="E41" s="208"/>
      <c r="F41" s="208"/>
      <c r="G41" s="208"/>
      <c r="H41" s="208"/>
      <c r="I41" s="208"/>
    </row>
    <row r="42" spans="1:12" x14ac:dyDescent="0.2">
      <c r="A42" s="208"/>
      <c r="B42" s="208"/>
      <c r="C42" s="208"/>
      <c r="D42" s="208"/>
      <c r="E42" s="208"/>
      <c r="F42" s="208"/>
      <c r="G42" s="208"/>
      <c r="H42" s="208"/>
      <c r="I42" s="208"/>
    </row>
    <row r="43" spans="1:12" x14ac:dyDescent="0.2">
      <c r="A43" s="208"/>
      <c r="B43" s="208"/>
      <c r="C43" s="208"/>
      <c r="D43" s="208"/>
      <c r="E43" s="208"/>
      <c r="F43" s="208"/>
      <c r="G43" s="208"/>
      <c r="H43" s="208"/>
      <c r="I43" s="208"/>
    </row>
    <row r="44" spans="1:12" x14ac:dyDescent="0.2">
      <c r="A44" s="208"/>
      <c r="B44" s="208"/>
      <c r="C44" s="208"/>
      <c r="D44" s="208"/>
      <c r="E44" s="208"/>
      <c r="F44" s="208"/>
      <c r="G44" s="208"/>
      <c r="H44" s="208"/>
      <c r="I44" s="208"/>
    </row>
    <row r="45" spans="1:12" x14ac:dyDescent="0.2">
      <c r="A45" s="208"/>
      <c r="B45" s="208"/>
      <c r="C45" s="208"/>
      <c r="D45" s="208"/>
      <c r="E45" s="208"/>
      <c r="F45" s="208"/>
      <c r="G45" s="208"/>
      <c r="H45" s="208"/>
      <c r="I45" s="208"/>
    </row>
    <row r="46" spans="1:12" x14ac:dyDescent="0.2">
      <c r="A46" s="208"/>
      <c r="B46" s="208"/>
      <c r="C46" s="208"/>
      <c r="D46" s="208"/>
      <c r="E46" s="208"/>
      <c r="F46" s="208"/>
      <c r="G46" s="208"/>
      <c r="H46" s="208"/>
      <c r="I46" s="208"/>
    </row>
    <row r="47" spans="1:12" x14ac:dyDescent="0.2">
      <c r="A47" s="208"/>
      <c r="B47" s="208"/>
      <c r="C47" s="208"/>
      <c r="D47" s="208"/>
      <c r="E47" s="208"/>
      <c r="F47" s="208"/>
      <c r="G47" s="208"/>
      <c r="H47" s="208"/>
      <c r="I47" s="208"/>
    </row>
    <row r="48" spans="1:12" x14ac:dyDescent="0.2">
      <c r="A48" s="55"/>
      <c r="B48" s="55"/>
      <c r="C48" s="55"/>
      <c r="D48" s="55"/>
      <c r="E48" s="55"/>
      <c r="F48" s="55"/>
    </row>
    <row r="49" spans="1:6" x14ac:dyDescent="0.2">
      <c r="A49" s="55"/>
      <c r="B49" s="55"/>
      <c r="C49" s="55"/>
      <c r="D49" s="55"/>
      <c r="E49" s="55"/>
      <c r="F49" s="55"/>
    </row>
  </sheetData>
  <sheetProtection algorithmName="SHA-512" hashValue="bCPxKGldE/4OQR6QMirn0dOHYeiBvE/X2LRoBIRYozOSAxNg//F4lj9q3lL9JKcNAgu07iW03j9T1Zx2QMYWMw==" saltValue="ZdOyI+oEp/eFn6KGtK6oXA==" spinCount="100000" sheet="1" objects="1" scenarios="1"/>
  <protectedRanges>
    <protectedRange sqref="C23:C37" name="Range2"/>
    <protectedRange sqref="C16:C17" name="Range1"/>
  </protectedRanges>
  <autoFilter ref="A21:I37" xr:uid="{00000000-0009-0000-0000-000001000000}">
    <filterColumn colId="3" showButton="0"/>
    <filterColumn colId="5" showButton="0"/>
    <filterColumn colId="7" showButton="0"/>
  </autoFilter>
  <mergeCells count="17">
    <mergeCell ref="A40:I47"/>
    <mergeCell ref="A23:A24"/>
    <mergeCell ref="C21:C22"/>
    <mergeCell ref="A25:A26"/>
    <mergeCell ref="A21:A22"/>
    <mergeCell ref="B21:B22"/>
    <mergeCell ref="A36:A37"/>
    <mergeCell ref="A34:A35"/>
    <mergeCell ref="A32:A33"/>
    <mergeCell ref="A30:A31"/>
    <mergeCell ref="A27:A28"/>
    <mergeCell ref="A17:B17"/>
    <mergeCell ref="A16:B16"/>
    <mergeCell ref="H21:I21"/>
    <mergeCell ref="F21:G21"/>
    <mergeCell ref="D21:E21"/>
    <mergeCell ref="A20:I20"/>
  </mergeCells>
  <conditionalFormatting sqref="C23:C37">
    <cfRule type="expression" dxfId="0" priority="6">
      <formula>D23&gt;0</formula>
    </cfRule>
  </conditionalFormatting>
  <dataValidations count="1">
    <dataValidation type="list" allowBlank="1" showInputMessage="1" showErrorMessage="1" errorTitle="Please Select" error="Please Select/Type &quot;Greens&quot; or &quot;Fairways&quot;" sqref="C23:C37" xr:uid="{00000000-0002-0000-0100-000000000000}">
      <formula1>$M$20:$M$21</formula1>
    </dataValidation>
  </dataValidations>
  <pageMargins left="0.7" right="0.7" top="0.75" bottom="0.75" header="0.3" footer="0.3"/>
  <pageSetup scale="56" orientation="portrait" r:id="rId1"/>
  <headerFooter>
    <oddFooter>&amp;C_x000D_&amp;1#&amp;"Arial"&amp;10&amp;K000000 Internal</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74" r:id="rId4" name="Button 2">
              <controlPr defaultSize="0" print="0" autoFill="0" autoPict="0" macro="[0]!Planner_Refresh">
                <anchor moveWithCells="1" sizeWithCells="1">
                  <from>
                    <xdr:col>3</xdr:col>
                    <xdr:colOff>609600</xdr:colOff>
                    <xdr:row>14</xdr:row>
                    <xdr:rowOff>76200</xdr:rowOff>
                  </from>
                  <to>
                    <xdr:col>4</xdr:col>
                    <xdr:colOff>981075</xdr:colOff>
                    <xdr:row>17</xdr:row>
                    <xdr:rowOff>9525</xdr:rowOff>
                  </to>
                </anchor>
              </controlPr>
            </control>
          </mc:Choice>
        </mc:AlternateContent>
      </controls>
    </mc:Choice>
  </mc:AlternateContent>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tabColor theme="4" tint="-0.249977111117893"/>
  </sheetPr>
  <dimension ref="A11:G82"/>
  <sheetViews>
    <sheetView showGridLines="0" zoomScaleNormal="100" workbookViewId="0">
      <selection activeCell="F21" sqref="F21:F22"/>
    </sheetView>
  </sheetViews>
  <sheetFormatPr defaultColWidth="15.140625" defaultRowHeight="12.75" x14ac:dyDescent="0.2"/>
  <cols>
    <col min="1" max="1" width="44.85546875" bestFit="1" customWidth="1"/>
    <col min="2" max="3" width="21.7109375" customWidth="1"/>
    <col min="4" max="4" width="27" style="25" bestFit="1" customWidth="1"/>
    <col min="5" max="6" width="21.7109375" customWidth="1"/>
    <col min="7" max="7" width="15.140625" customWidth="1"/>
  </cols>
  <sheetData>
    <row r="11" spans="1:7" x14ac:dyDescent="0.2">
      <c r="A11" s="271" t="s">
        <v>270</v>
      </c>
      <c r="B11" s="271"/>
      <c r="C11" s="271"/>
      <c r="D11" s="271"/>
      <c r="E11" s="271"/>
      <c r="F11" s="271"/>
    </row>
    <row r="12" spans="1:7" x14ac:dyDescent="0.2">
      <c r="A12" s="271"/>
      <c r="B12" s="271"/>
      <c r="C12" s="271"/>
      <c r="D12" s="271"/>
      <c r="E12" s="271"/>
      <c r="F12" s="271"/>
    </row>
    <row r="13" spans="1:7" ht="25.5" x14ac:dyDescent="0.35">
      <c r="A13" s="24">
        <f ca="1">NOW()</f>
        <v>45853.646039120373</v>
      </c>
      <c r="D13" s="184" t="s">
        <v>68</v>
      </c>
      <c r="E13" s="185"/>
      <c r="F13" s="186"/>
    </row>
    <row r="14" spans="1:7" s="28" customFormat="1" ht="25.5" x14ac:dyDescent="0.35">
      <c r="A14" s="26" t="s">
        <v>60</v>
      </c>
      <c r="B14" s="26" t="s">
        <v>61</v>
      </c>
      <c r="C14" s="27"/>
      <c r="D14" s="275" t="s">
        <v>72</v>
      </c>
      <c r="E14" s="275"/>
      <c r="F14" s="187">
        <f>'Step 2 - Order Planner'!H21</f>
        <v>0</v>
      </c>
    </row>
    <row r="15" spans="1:7" s="29" customFormat="1" ht="15.75" x14ac:dyDescent="0.25">
      <c r="A15" s="29" t="s">
        <v>63</v>
      </c>
      <c r="B15" s="29" t="s">
        <v>70</v>
      </c>
      <c r="C15" s="30"/>
      <c r="D15" s="276" t="s">
        <v>219</v>
      </c>
      <c r="E15" s="276"/>
      <c r="F15" s="188">
        <f>'Step 2 - Order Planner'!B20</f>
        <v>0</v>
      </c>
      <c r="G15" s="31"/>
    </row>
    <row r="16" spans="1:7" s="29" customFormat="1" ht="15.75" x14ac:dyDescent="0.25">
      <c r="A16" s="29" t="s">
        <v>64</v>
      </c>
      <c r="B16" s="29" t="s">
        <v>64</v>
      </c>
      <c r="C16" s="30"/>
      <c r="D16" s="276" t="s">
        <v>212</v>
      </c>
      <c r="E16" s="276"/>
      <c r="F16" s="188">
        <f>'Step 2 - Order Planner'!B21</f>
        <v>0</v>
      </c>
      <c r="G16" s="31"/>
    </row>
    <row r="17" spans="1:6" s="29" customFormat="1" ht="15" x14ac:dyDescent="0.2">
      <c r="A17" s="29" t="s">
        <v>65</v>
      </c>
      <c r="B17" s="29" t="s">
        <v>65</v>
      </c>
      <c r="C17" s="30"/>
      <c r="D17" s="277" t="str">
        <f>'Step 2 - Order Planner'!A22</f>
        <v>Aramax™ SC Intrinsic® Kicker Rebate</v>
      </c>
      <c r="E17" s="277"/>
      <c r="F17" s="189">
        <f>'Step 2 - Order Planner'!B22</f>
        <v>0</v>
      </c>
    </row>
    <row r="18" spans="1:6" s="29" customFormat="1" ht="15" customHeight="1" x14ac:dyDescent="0.2">
      <c r="A18" s="29" t="s">
        <v>66</v>
      </c>
      <c r="B18" s="29" t="s">
        <v>66</v>
      </c>
      <c r="C18" s="30"/>
      <c r="D18" s="278" t="s">
        <v>266</v>
      </c>
      <c r="E18" s="278"/>
      <c r="F18" s="190">
        <f>'Step 2 - Order Planner'!C22</f>
        <v>0</v>
      </c>
    </row>
    <row r="19" spans="1:6" s="29" customFormat="1" ht="15" customHeight="1" x14ac:dyDescent="0.2">
      <c r="A19" s="29" t="s">
        <v>67</v>
      </c>
      <c r="B19" s="29" t="s">
        <v>67</v>
      </c>
      <c r="C19" s="30"/>
      <c r="D19" s="277" t="s">
        <v>274</v>
      </c>
      <c r="E19" s="277"/>
      <c r="F19" s="189">
        <f>'Step 2 - Order Planner'!B23</f>
        <v>0</v>
      </c>
    </row>
    <row r="20" spans="1:6" s="29" customFormat="1" ht="15.75" customHeight="1" x14ac:dyDescent="0.2">
      <c r="C20" s="30"/>
      <c r="D20" s="277" t="s">
        <v>281</v>
      </c>
      <c r="E20" s="277"/>
      <c r="F20" s="190">
        <f>'Step 2 - Order Planner'!C23</f>
        <v>0</v>
      </c>
    </row>
    <row r="21" spans="1:6" ht="18" customHeight="1" x14ac:dyDescent="0.2">
      <c r="C21" s="32"/>
      <c r="D21" s="279" t="s">
        <v>71</v>
      </c>
      <c r="E21" s="279"/>
      <c r="F21" s="279">
        <f>'Step 2 - Order Planner'!H23</f>
        <v>0</v>
      </c>
    </row>
    <row r="22" spans="1:6" ht="12.75" customHeight="1" x14ac:dyDescent="0.2">
      <c r="C22" s="183"/>
      <c r="D22" s="279"/>
      <c r="E22" s="279"/>
      <c r="F22" s="279"/>
    </row>
    <row r="23" spans="1:6" s="36" customFormat="1" ht="20.25" x14ac:dyDescent="0.3">
      <c r="A23" s="33" t="s">
        <v>59</v>
      </c>
      <c r="B23" s="34"/>
      <c r="C23" s="183"/>
      <c r="D23" s="183"/>
      <c r="E23" s="35"/>
    </row>
    <row r="24" spans="1:6" x14ac:dyDescent="0.2">
      <c r="C24" s="32"/>
      <c r="E24" s="32"/>
    </row>
    <row r="25" spans="1:6" s="29" customFormat="1" ht="27" customHeight="1" x14ac:dyDescent="0.2">
      <c r="A25" s="142" t="s">
        <v>100</v>
      </c>
      <c r="B25" s="142" t="s">
        <v>0</v>
      </c>
      <c r="C25" s="143" t="s">
        <v>69</v>
      </c>
      <c r="D25" s="142" t="s">
        <v>76</v>
      </c>
      <c r="E25" s="142" t="s">
        <v>57</v>
      </c>
      <c r="F25" s="143" t="s">
        <v>58</v>
      </c>
    </row>
    <row r="26" spans="1:6" ht="15" x14ac:dyDescent="0.2">
      <c r="A26" s="37" t="str">
        <f>VLOOKUP($C26,'Article Reference'!$A$3:$D$53,2,FALSE)</f>
        <v>Aramax™ Intrinsic® brand Fungicide</v>
      </c>
      <c r="B26" s="41" t="str">
        <f>VLOOKUP($C26,'Article Reference'!$A$3:$D$53,3,FALSE)</f>
        <v>2 x 2.5 gal</v>
      </c>
      <c r="C26" s="41">
        <v>59026671</v>
      </c>
      <c r="D26" s="38">
        <f>VLOOKUP($C26,'Article Reference'!$A$3:$D$53,4,FALSE)</f>
        <v>5215</v>
      </c>
      <c r="E26" s="39">
        <f>VLOOKUP(C26,'Step 2 - Order Planner'!$C$26:$H$77,4,FALSE)+VLOOKUP(C26,'Step 2 - Order Planner'!$C$26:$H$77,6,FALSE)</f>
        <v>0</v>
      </c>
      <c r="F26" s="40">
        <f t="shared" ref="F26:F67" si="0">E26*D26</f>
        <v>0</v>
      </c>
    </row>
    <row r="27" spans="1:6" ht="15" x14ac:dyDescent="0.2">
      <c r="A27" s="37" t="str">
        <f>VLOOKUP($C27,'Article Reference'!$A$3:$D$53,2,FALSE)</f>
        <v>Aramax™ Intrinsic brand fungicide</v>
      </c>
      <c r="B27" s="41" t="str">
        <f>VLOOKUP($C27,'Article Reference'!$A$3:$D$53,3,FALSE)</f>
        <v>4 x 43.5 fl oz</v>
      </c>
      <c r="C27" s="41">
        <v>59032979</v>
      </c>
      <c r="D27" s="38">
        <f>VLOOKUP($C27,'Article Reference'!$A$3:$D$53,4,FALSE)</f>
        <v>1479</v>
      </c>
      <c r="E27" s="39">
        <f>VLOOKUP(C27,'Step 2 - Order Planner'!$C$26:$H$77,4,FALSE)+VLOOKUP(C27,'Step 2 - Order Planner'!$C$26:$H$77,6,FALSE)</f>
        <v>0</v>
      </c>
      <c r="F27" s="40">
        <f t="shared" ref="F27" si="1">E27*D27</f>
        <v>0</v>
      </c>
    </row>
    <row r="28" spans="1:6" ht="15" x14ac:dyDescent="0.2">
      <c r="A28" s="37" t="str">
        <f>VLOOKUP($C28,'Article Reference'!$A$3:$D$53,2,FALSE)</f>
        <v>Emerald® fungicide</v>
      </c>
      <c r="B28" s="41" t="str">
        <f>VLOOKUP($C28,'Article Reference'!$A$3:$D$53,3,FALSE)</f>
        <v>10 x 0.49 lb</v>
      </c>
      <c r="C28" s="41">
        <v>59021463</v>
      </c>
      <c r="D28" s="38">
        <f>VLOOKUP($C28,'Article Reference'!$A$3:$D$53,4,FALSE)</f>
        <v>1239.7</v>
      </c>
      <c r="E28" s="39">
        <f>VLOOKUP(C28,'Step 2 - Order Planner'!$C$26:$H$77,4,FALSE)+VLOOKUP(C28,'Step 2 - Order Planner'!$C$26:$H$77,6,FALSE)</f>
        <v>0</v>
      </c>
      <c r="F28" s="40">
        <f t="shared" si="0"/>
        <v>0</v>
      </c>
    </row>
    <row r="29" spans="1:6" ht="15" x14ac:dyDescent="0.2">
      <c r="A29" s="37" t="str">
        <f>VLOOKUP($C29,'Article Reference'!$A$3:$D$53,2,FALSE)</f>
        <v>Encartis® fungicide</v>
      </c>
      <c r="B29" s="41" t="str">
        <f>VLOOKUP($C29,'Article Reference'!$A$3:$D$53,3,FALSE)</f>
        <v>2 x 2.5 gal</v>
      </c>
      <c r="C29" s="41">
        <v>59014003</v>
      </c>
      <c r="D29" s="38">
        <f>VLOOKUP($C29,'Article Reference'!$A$3:$D$53,4,FALSE)</f>
        <v>680</v>
      </c>
      <c r="E29" s="39">
        <f>VLOOKUP(C29,'Step 2 - Order Planner'!$C$26:$H$77,4,FALSE)+VLOOKUP(C29,'Step 2 - Order Planner'!$C$26:$H$77,6,FALSE)</f>
        <v>0</v>
      </c>
      <c r="F29" s="40">
        <f t="shared" si="0"/>
        <v>0</v>
      </c>
    </row>
    <row r="30" spans="1:6" ht="15" x14ac:dyDescent="0.2">
      <c r="A30" s="37" t="str">
        <f>VLOOKUP($C30,'Article Reference'!$A$3:$D$53,2,FALSE)</f>
        <v>Honor® Intrinsic® brand fungicide</v>
      </c>
      <c r="B30" s="41" t="str">
        <f>VLOOKUP($C30,'Article Reference'!$A$3:$D$53,3,FALSE)</f>
        <v>6 x 3 lb</v>
      </c>
      <c r="C30" s="41">
        <v>59012350</v>
      </c>
      <c r="D30" s="38">
        <f>VLOOKUP($C30,'Article Reference'!$A$3:$D$53,4,FALSE)</f>
        <v>3528</v>
      </c>
      <c r="E30" s="39">
        <f>VLOOKUP(C30,'Step 2 - Order Planner'!$C$26:$H$77,4,FALSE)+VLOOKUP(C30,'Step 2 - Order Planner'!$C$26:$H$77,6,FALSE)</f>
        <v>0</v>
      </c>
      <c r="F30" s="40">
        <f t="shared" si="0"/>
        <v>0</v>
      </c>
    </row>
    <row r="31" spans="1:6" ht="15" x14ac:dyDescent="0.2">
      <c r="A31" s="37" t="str">
        <f>VLOOKUP($C31,'Article Reference'!$A$3:$D$53,2,FALSE)</f>
        <v>Honor® Intrinsic® brand fungicide</v>
      </c>
      <c r="B31" s="41" t="str">
        <f>VLOOKUP($C31,'Article Reference'!$A$3:$D$53,3,FALSE)</f>
        <v>1 x 36 lb</v>
      </c>
      <c r="C31" s="41">
        <v>59012885</v>
      </c>
      <c r="D31" s="38">
        <f>VLOOKUP($C31,'Article Reference'!$A$3:$D$53,4,FALSE)</f>
        <v>5112</v>
      </c>
      <c r="E31" s="39">
        <f>VLOOKUP(C31,'Step 2 - Order Planner'!$C$26:$H$77,4,FALSE)+VLOOKUP(C31,'Step 2 - Order Planner'!$C$26:$H$77,6,FALSE)</f>
        <v>0</v>
      </c>
      <c r="F31" s="40">
        <f t="shared" si="0"/>
        <v>0</v>
      </c>
    </row>
    <row r="32" spans="1:6" ht="15" x14ac:dyDescent="0.2">
      <c r="A32" s="37" t="str">
        <f>VLOOKUP($C32,'Article Reference'!$A$3:$D$53,2,FALSE)</f>
        <v>Insignia® SC Intrinsic® brand fungicide</v>
      </c>
      <c r="B32" s="41" t="str">
        <f>VLOOKUP($C32,'Article Reference'!$A$3:$D$53,3,FALSE)</f>
        <v>4 x 30.5 fl oz</v>
      </c>
      <c r="C32" s="41">
        <v>59028038</v>
      </c>
      <c r="D32" s="38">
        <f>VLOOKUP($C32,'Article Reference'!$A$3:$D$53,4,FALSE)</f>
        <v>2303.36</v>
      </c>
      <c r="E32" s="39">
        <f>VLOOKUP(C32,'Step 2 - Order Planner'!$C$26:$H$77,4,FALSE)+VLOOKUP(C32,'Step 2 - Order Planner'!$C$26:$H$77,6,FALSE)</f>
        <v>0</v>
      </c>
      <c r="F32" s="40">
        <f t="shared" si="0"/>
        <v>0</v>
      </c>
    </row>
    <row r="33" spans="1:6" ht="15" x14ac:dyDescent="0.2">
      <c r="A33" s="37" t="str">
        <f>VLOOKUP($C33,'Article Reference'!$A$3:$D$53,2,FALSE)</f>
        <v>Insignia® SC Intrinsic® brand fungicide</v>
      </c>
      <c r="B33" s="41" t="str">
        <f>VLOOKUP($C33,'Article Reference'!$A$3:$D$53,3,FALSE)</f>
        <v>2 x 2.5 gal</v>
      </c>
      <c r="C33" s="41">
        <v>59028040</v>
      </c>
      <c r="D33" s="38">
        <f>VLOOKUP($C33,'Article Reference'!$A$3:$D$53,4,FALSE)</f>
        <v>7522.5</v>
      </c>
      <c r="E33" s="39">
        <f>VLOOKUP(C33,'Step 2 - Order Planner'!$C$26:$H$77,4,FALSE)+VLOOKUP(C33,'Step 2 - Order Planner'!$C$26:$H$77,6,FALSE)</f>
        <v>0</v>
      </c>
      <c r="F33" s="40">
        <f t="shared" si="0"/>
        <v>0</v>
      </c>
    </row>
    <row r="34" spans="1:6" ht="15" x14ac:dyDescent="0.2">
      <c r="A34" s="37" t="str">
        <f>VLOOKUP($C34,'Article Reference'!$A$3:$D$53,2,FALSE)</f>
        <v>Lexicon® Intrinsic® brand fungicide</v>
      </c>
      <c r="B34" s="41" t="str">
        <f>VLOOKUP($C34,'Article Reference'!$A$3:$D$53,3,FALSE)</f>
        <v>4 x 21 oz</v>
      </c>
      <c r="C34" s="41">
        <v>59027998</v>
      </c>
      <c r="D34" s="38">
        <f>VLOOKUP($C34,'Article Reference'!$A$3:$D$53,4,FALSE)</f>
        <v>2520</v>
      </c>
      <c r="E34" s="39">
        <f>VLOOKUP(C34,'Step 2 - Order Planner'!$C$26:$H$77,4,FALSE)+VLOOKUP(C34,'Step 2 - Order Planner'!$C$26:$H$77,6,FALSE)</f>
        <v>0</v>
      </c>
      <c r="F34" s="40">
        <f t="shared" si="0"/>
        <v>0</v>
      </c>
    </row>
    <row r="35" spans="1:6" ht="15" x14ac:dyDescent="0.2">
      <c r="A35" s="37" t="str">
        <f>VLOOKUP($C35,'Article Reference'!$A$3:$D$53,2,FALSE)</f>
        <v>Maxtima® fungicide</v>
      </c>
      <c r="B35" s="41" t="str">
        <f>VLOOKUP($C35,'Article Reference'!$A$3:$D$53,3,FALSE)</f>
        <v>4 x 26 oz</v>
      </c>
      <c r="C35" s="41">
        <v>59018087</v>
      </c>
      <c r="D35" s="38">
        <f>VLOOKUP($C35,'Article Reference'!$A$3:$D$53,4,FALSE)</f>
        <v>956.8</v>
      </c>
      <c r="E35" s="39">
        <f>VLOOKUP(C35,'Step 2 - Order Planner'!$C$26:$H$77,4,FALSE)+VLOOKUP(C35,'Step 2 - Order Planner'!$C$26:$H$77,6,FALSE)</f>
        <v>0</v>
      </c>
      <c r="F35" s="40">
        <f t="shared" si="0"/>
        <v>0</v>
      </c>
    </row>
    <row r="36" spans="1:6" ht="15" x14ac:dyDescent="0.2">
      <c r="A36" s="37" t="str">
        <f>VLOOKUP($C36,'Article Reference'!$A$3:$D$53,2,FALSE)</f>
        <v>Maxtima® fungicide</v>
      </c>
      <c r="B36" s="41" t="str">
        <f>VLOOKUP($C36,'Article Reference'!$A$3:$D$53,3,FALSE)</f>
        <v>2 x 2.5 gal</v>
      </c>
      <c r="C36" s="41">
        <v>59018071</v>
      </c>
      <c r="D36" s="38">
        <f>VLOOKUP($C36,'Article Reference'!$A$3:$D$53,4,FALSE)</f>
        <v>4715</v>
      </c>
      <c r="E36" s="39">
        <f>VLOOKUP(C36,'Step 2 - Order Planner'!$C$26:$H$77,4,FALSE)+VLOOKUP(C36,'Step 2 - Order Planner'!$C$26:$H$77,6,FALSE)</f>
        <v>0</v>
      </c>
      <c r="F36" s="40">
        <f t="shared" si="0"/>
        <v>0</v>
      </c>
    </row>
    <row r="37" spans="1:6" ht="15" x14ac:dyDescent="0.2">
      <c r="A37" s="37" t="str">
        <f>VLOOKUP($C37,'Article Reference'!$A$3:$D$53,2,FALSE)</f>
        <v>Navicon® Intrinsic® brand fungicide</v>
      </c>
      <c r="B37" s="41" t="str">
        <f>VLOOKUP($C37,'Article Reference'!$A$3:$D$53,3,FALSE)</f>
        <v>4 x 37 fl oz</v>
      </c>
      <c r="C37" s="41">
        <v>59018094</v>
      </c>
      <c r="D37" s="38">
        <f>VLOOKUP($C37,'Article Reference'!$A$3:$D$53,4,FALSE)</f>
        <v>2308.8000000000002</v>
      </c>
      <c r="E37" s="39">
        <f>VLOOKUP(C37,'Step 2 - Order Planner'!$C$26:$H$77,4,FALSE)+VLOOKUP(C37,'Step 2 - Order Planner'!$C$26:$H$77,6,FALSE)</f>
        <v>0</v>
      </c>
      <c r="F37" s="40">
        <f t="shared" si="0"/>
        <v>0</v>
      </c>
    </row>
    <row r="38" spans="1:6" ht="15" x14ac:dyDescent="0.2">
      <c r="A38" s="37" t="str">
        <f>VLOOKUP($C38,'Article Reference'!$A$3:$D$53,2,FALSE)</f>
        <v>Navicon® Intrinsic® brand fungicide</v>
      </c>
      <c r="B38" s="41" t="str">
        <f>VLOOKUP($C38,'Article Reference'!$A$3:$D$53,3,FALSE)</f>
        <v>2 x 2.5 gal</v>
      </c>
      <c r="C38" s="41">
        <v>59018095</v>
      </c>
      <c r="D38" s="38">
        <f>VLOOKUP($C38,'Article Reference'!$A$3:$D$53,4,FALSE)</f>
        <v>7320</v>
      </c>
      <c r="E38" s="39">
        <f>VLOOKUP(C38,'Step 2 - Order Planner'!$C$26:$H$77,4,FALSE)+VLOOKUP(C38,'Step 2 - Order Planner'!$C$26:$H$77,6,FALSE)</f>
        <v>0</v>
      </c>
      <c r="F38" s="40">
        <f t="shared" si="0"/>
        <v>0</v>
      </c>
    </row>
    <row r="39" spans="1:6" ht="15" x14ac:dyDescent="0.2">
      <c r="A39" s="37" t="str">
        <f>VLOOKUP($C39,'Article Reference'!$A$3:$D$53,2,FALSE)</f>
        <v>Xzemplar® fungicide</v>
      </c>
      <c r="B39" s="41" t="str">
        <f>VLOOKUP($C39,'Article Reference'!$A$3:$D$53,3,FALSE)</f>
        <v>2 x 114 oz</v>
      </c>
      <c r="C39" s="41">
        <v>59013833</v>
      </c>
      <c r="D39" s="38">
        <f>VLOOKUP($C39,'Article Reference'!$A$3:$D$53,4,FALSE)</f>
        <v>3602.4</v>
      </c>
      <c r="E39" s="39">
        <f>VLOOKUP(C39,'Step 2 - Order Planner'!$C$26:$H$77,4,FALSE)+VLOOKUP(C39,'Step 2 - Order Planner'!$C$26:$H$77,6,FALSE)</f>
        <v>0</v>
      </c>
      <c r="F39" s="40">
        <f t="shared" si="0"/>
        <v>0</v>
      </c>
    </row>
    <row r="40" spans="1:6" ht="15" x14ac:dyDescent="0.2">
      <c r="A40" s="37" t="str">
        <f>VLOOKUP($C40,'Article Reference'!$A$3:$D$53,2,FALSE)</f>
        <v>Xzemplar® fungicide</v>
      </c>
      <c r="B40" s="41" t="str">
        <f>VLOOKUP($C40,'Article Reference'!$A$3:$D$53,3,FALSE)</f>
        <v>4 x 11.4 oz</v>
      </c>
      <c r="C40" s="41">
        <v>59014120</v>
      </c>
      <c r="D40" s="38">
        <f>VLOOKUP($C40,'Article Reference'!$A$3:$D$53,4,FALSE)</f>
        <v>861.84</v>
      </c>
      <c r="E40" s="39">
        <f>VLOOKUP(C40,'Step 2 - Order Planner'!$C$26:$H$77,4,FALSE)+VLOOKUP(C40,'Step 2 - Order Planner'!$C$26:$H$77,6,FALSE)</f>
        <v>0</v>
      </c>
      <c r="F40" s="40">
        <f t="shared" si="0"/>
        <v>0</v>
      </c>
    </row>
    <row r="41" spans="1:6" ht="15.75" customHeight="1" x14ac:dyDescent="0.2">
      <c r="A41" s="272" t="s">
        <v>239</v>
      </c>
      <c r="B41" s="273"/>
      <c r="C41" s="273"/>
      <c r="D41" s="273"/>
      <c r="E41" s="274"/>
      <c r="F41" s="155">
        <f>'Step 2 - Order Planner'!H17</f>
        <v>0</v>
      </c>
    </row>
    <row r="42" spans="1:6" ht="15" x14ac:dyDescent="0.2">
      <c r="A42" s="37" t="str">
        <f>VLOOKUP($C42,'Article Reference'!$A$3:$D$53,2,FALSE)</f>
        <v>Admiral® lake colorant</v>
      </c>
      <c r="B42" s="41" t="str">
        <f>VLOOKUP($C42,'Article Reference'!$A$3:$D$53,3,FALSE)</f>
        <v>4 x 1 gal</v>
      </c>
      <c r="C42" s="41">
        <v>59014151</v>
      </c>
      <c r="D42" s="38">
        <f>VLOOKUP($C42,'Article Reference'!$A$3:$D$53,4,FALSE)</f>
        <v>280</v>
      </c>
      <c r="E42" s="39">
        <f>VLOOKUP(C42,'Step 2 - Order Planner'!$C$26:$H$77,4,FALSE)+VLOOKUP(C42,'Step 2 - Order Planner'!$C$26:$H$77,6,FALSE)</f>
        <v>0</v>
      </c>
      <c r="F42" s="40">
        <f t="shared" si="0"/>
        <v>0</v>
      </c>
    </row>
    <row r="43" spans="1:6" ht="15" x14ac:dyDescent="0.2">
      <c r="A43" s="37" t="str">
        <f>VLOOKUP($C43,'Article Reference'!$A$3:$D$53,2,FALSE)</f>
        <v>Alucion® 35 WG insecticide</v>
      </c>
      <c r="B43" s="41" t="str">
        <f>VLOOKUP($C43,'Article Reference'!$A$3:$D$53,3,FALSE)</f>
        <v>10 x 2.375 lbs</v>
      </c>
      <c r="C43" s="41">
        <v>59024020</v>
      </c>
      <c r="D43" s="38">
        <f>VLOOKUP($C43,'Article Reference'!$A$3:$D$53,4,FALSE)</f>
        <v>2636.3</v>
      </c>
      <c r="E43" s="39">
        <f>VLOOKUP(C43,'Step 2 - Order Planner'!$C$26:$H$77,4,FALSE)+VLOOKUP(C43,'Step 2 - Order Planner'!$C$26:$H$77,6,FALSE)</f>
        <v>0</v>
      </c>
      <c r="F43" s="40">
        <f t="shared" ref="F43" si="2">E43*D43</f>
        <v>0</v>
      </c>
    </row>
    <row r="44" spans="1:6" ht="15" x14ac:dyDescent="0.2">
      <c r="A44" s="37" t="str">
        <f>VLOOKUP($C44,'Article Reference'!$A$3:$D$53,2,FALSE)</f>
        <v>Amdro Pro Fire Ant Bait</v>
      </c>
      <c r="B44" s="41" t="str">
        <f>VLOOKUP($C44,'Article Reference'!$A$3:$D$53,3,FALSE)</f>
        <v>1 x 25lbs</v>
      </c>
      <c r="C44" s="41">
        <v>59021451</v>
      </c>
      <c r="D44" s="38">
        <f>VLOOKUP($C44,'Article Reference'!$A$3:$D$53,4,FALSE)</f>
        <v>625</v>
      </c>
      <c r="E44" s="39">
        <f>VLOOKUP(C44,'Step 2 - Order Planner'!$C$26:$H$77,4,FALSE)+VLOOKUP(C44,'Step 2 - Order Planner'!$C$26:$H$77,6,FALSE)</f>
        <v>0</v>
      </c>
      <c r="F44" s="40">
        <f t="shared" si="0"/>
        <v>0</v>
      </c>
    </row>
    <row r="45" spans="1:6" ht="15" x14ac:dyDescent="0.2">
      <c r="A45" s="37" t="str">
        <f>VLOOKUP($C45,'Article Reference'!$A$3:$D$53,2,FALSE)</f>
        <v>Basagran® herbicide</v>
      </c>
      <c r="B45" s="41" t="str">
        <f>VLOOKUP($C45,'Article Reference'!$A$3:$D$53,3,FALSE)</f>
        <v>2 x 1 gal</v>
      </c>
      <c r="C45" s="41">
        <v>59011636</v>
      </c>
      <c r="D45" s="38">
        <f>VLOOKUP($C45,'Article Reference'!$A$3:$D$53,4,FALSE)</f>
        <v>127.5</v>
      </c>
      <c r="E45" s="39">
        <f>VLOOKUP(C45,'Step 2 - Order Planner'!$C$26:$H$77,4,FALSE)+VLOOKUP(C45,'Step 2 - Order Planner'!$C$26:$H$77,6,FALSE)</f>
        <v>0</v>
      </c>
      <c r="F45" s="40">
        <f t="shared" si="0"/>
        <v>0</v>
      </c>
    </row>
    <row r="46" spans="1:6" ht="15" x14ac:dyDescent="0.2">
      <c r="A46" s="37" t="str">
        <f>VLOOKUP($C46,'Article Reference'!$A$3:$D$53,2,FALSE)</f>
        <v>Black Onyx lake &amp; pond colorant</v>
      </c>
      <c r="B46" s="41" t="str">
        <f>VLOOKUP($C46,'Article Reference'!$A$3:$D$53,3,FALSE)</f>
        <v>4 x 1 gal</v>
      </c>
      <c r="C46" s="41">
        <v>59013424</v>
      </c>
      <c r="D46" s="38">
        <f>VLOOKUP($C46,'Article Reference'!$A$3:$D$53,4,FALSE)</f>
        <v>480</v>
      </c>
      <c r="E46" s="39">
        <f>VLOOKUP(C46,'Step 2 - Order Planner'!$C$26:$H$77,4,FALSE)+VLOOKUP(C46,'Step 2 - Order Planner'!$C$26:$H$77,6,FALSE)</f>
        <v>0</v>
      </c>
      <c r="F46" s="40">
        <f t="shared" si="0"/>
        <v>0</v>
      </c>
    </row>
    <row r="47" spans="1:6" ht="15" x14ac:dyDescent="0.2">
      <c r="A47" s="37" t="str">
        <f>VLOOKUP($C47,'Article Reference'!$A$3:$D$53,2,FALSE)</f>
        <v>Drive® XLR8 herbicide</v>
      </c>
      <c r="B47" s="41" t="str">
        <f>VLOOKUP($C47,'Article Reference'!$A$3:$D$53,3,FALSE)</f>
        <v>4 x 0.5 gal</v>
      </c>
      <c r="C47" s="41">
        <v>59011404</v>
      </c>
      <c r="D47" s="38">
        <f>VLOOKUP($C47,'Article Reference'!$A$3:$D$53,4,FALSE)</f>
        <v>228.13</v>
      </c>
      <c r="E47" s="39">
        <f>VLOOKUP(C47,'Step 2 - Order Planner'!$C$26:$H$77,4,FALSE)+VLOOKUP(C47,'Step 2 - Order Planner'!$C$26:$H$77,6,FALSE)</f>
        <v>0</v>
      </c>
      <c r="F47" s="40">
        <f t="shared" si="0"/>
        <v>0</v>
      </c>
    </row>
    <row r="48" spans="1:6" ht="15" x14ac:dyDescent="0.2">
      <c r="A48" s="37" t="str">
        <f>VLOOKUP($C48,'Article Reference'!$A$3:$D$53,2,FALSE)</f>
        <v>Drive® XLR8 herbicide</v>
      </c>
      <c r="B48" s="41" t="str">
        <f>VLOOKUP($C48,'Article Reference'!$A$3:$D$53,3,FALSE)</f>
        <v>2 x 2.5 gal</v>
      </c>
      <c r="C48" s="41">
        <v>59018043</v>
      </c>
      <c r="D48" s="38">
        <f>VLOOKUP($C48,'Article Reference'!$A$3:$D$53,4,FALSE)</f>
        <v>529.69000000000005</v>
      </c>
      <c r="E48" s="39">
        <f>VLOOKUP(C48,'Step 2 - Order Planner'!$C$26:$H$77,4,FALSE)+VLOOKUP(C48,'Step 2 - Order Planner'!$C$26:$H$77,6,FALSE)</f>
        <v>0</v>
      </c>
      <c r="F48" s="40">
        <f t="shared" ref="F48" si="3">E48*D48</f>
        <v>0</v>
      </c>
    </row>
    <row r="49" spans="1:6" ht="15" x14ac:dyDescent="0.2">
      <c r="A49" s="37" t="str">
        <f>VLOOKUP($C49,'Article Reference'!$A$3:$D$53,2,FALSE)</f>
        <v>FreeHand® 1.75G herbicide</v>
      </c>
      <c r="B49" s="41" t="str">
        <f>VLOOKUP($C49,'Article Reference'!$A$3:$D$53,3,FALSE)</f>
        <v>1 x 50 lb</v>
      </c>
      <c r="C49" s="41">
        <v>59011296</v>
      </c>
      <c r="D49" s="38">
        <f>VLOOKUP($C49,'Article Reference'!$A$3:$D$53,4,FALSE)</f>
        <v>116</v>
      </c>
      <c r="E49" s="39">
        <f>VLOOKUP(C49,'Step 2 - Order Planner'!$C$26:$H$77,4,FALSE)+VLOOKUP(C49,'Step 2 - Order Planner'!$C$26:$H$77,6,FALSE)</f>
        <v>0</v>
      </c>
      <c r="F49" s="40">
        <f t="shared" si="0"/>
        <v>0</v>
      </c>
    </row>
    <row r="50" spans="1:6" ht="15" x14ac:dyDescent="0.2">
      <c r="A50" s="37" t="str">
        <f>VLOOKUP($C50,'Article Reference'!$A$3:$D$53,2,FALSE)</f>
        <v>Green Lawnger® colorant</v>
      </c>
      <c r="B50" s="41" t="str">
        <f>VLOOKUP($C50,'Article Reference'!$A$3:$D$53,3,FALSE)</f>
        <v>2 x 2.5 gal</v>
      </c>
      <c r="C50" s="41">
        <v>59013430</v>
      </c>
      <c r="D50" s="38">
        <f>VLOOKUP($C50,'Article Reference'!$A$3:$D$53,4,FALSE)</f>
        <v>418.75</v>
      </c>
      <c r="E50" s="39">
        <f>VLOOKUP(C50,'Step 2 - Order Planner'!$C$26:$H$77,4,FALSE)+VLOOKUP(C50,'Step 2 - Order Planner'!$C$26:$H$77,6,FALSE)</f>
        <v>0</v>
      </c>
      <c r="F50" s="40">
        <f t="shared" si="0"/>
        <v>0</v>
      </c>
    </row>
    <row r="51" spans="1:6" ht="15" x14ac:dyDescent="0.2">
      <c r="A51" s="37" t="str">
        <f>VLOOKUP($C51,'Article Reference'!$A$3:$D$53,2,FALSE)</f>
        <v>Green Lawnger® Transition HC colorant</v>
      </c>
      <c r="B51" s="41" t="str">
        <f>VLOOKUP($C51,'Article Reference'!$A$3:$D$53,3,FALSE)</f>
        <v>4 x 1 gal</v>
      </c>
      <c r="C51" s="41">
        <v>59013410</v>
      </c>
      <c r="D51" s="38">
        <f>VLOOKUP($C51,'Article Reference'!$A$3:$D$53,4,FALSE)</f>
        <v>875</v>
      </c>
      <c r="E51" s="39">
        <f>VLOOKUP(C51,'Step 2 - Order Planner'!$C$26:$H$77,4,FALSE)+VLOOKUP(C51,'Step 2 - Order Planner'!$C$26:$H$77,6,FALSE)</f>
        <v>0</v>
      </c>
      <c r="F51" s="40">
        <f t="shared" si="0"/>
        <v>0</v>
      </c>
    </row>
    <row r="52" spans="1:6" ht="15" x14ac:dyDescent="0.2">
      <c r="A52" s="37" t="str">
        <f>VLOOKUP($C52,'Article Reference'!$A$3:$D$53,2,FALSE)</f>
        <v>Green Lawnger® Vision Pro colorant</v>
      </c>
      <c r="B52" s="41" t="str">
        <f>VLOOKUP($C52,'Article Reference'!$A$3:$D$53,3,FALSE)</f>
        <v>4 x 1 gal</v>
      </c>
      <c r="C52" s="41">
        <v>59013342</v>
      </c>
      <c r="D52" s="38">
        <f>VLOOKUP($C52,'Article Reference'!$A$3:$D$53,4,FALSE)</f>
        <v>790</v>
      </c>
      <c r="E52" s="39">
        <f>VLOOKUP(C52,'Step 2 - Order Planner'!$C$26:$H$77,4,FALSE)+VLOOKUP(C52,'Step 2 - Order Planner'!$C$26:$H$77,6,FALSE)</f>
        <v>0</v>
      </c>
      <c r="F52" s="40">
        <f t="shared" si="0"/>
        <v>0</v>
      </c>
    </row>
    <row r="53" spans="1:6" ht="15" x14ac:dyDescent="0.2">
      <c r="A53" s="37" t="str">
        <f>VLOOKUP($C53,'Article Reference'!$A$3:$D$53,2,FALSE)</f>
        <v>Orkestra® Intrinsic® brand Fungicide</v>
      </c>
      <c r="B53" s="41" t="str">
        <f>VLOOKUP($C53,'Article Reference'!$A$3:$D$53,3,FALSE)</f>
        <v>4 x 16 oz</v>
      </c>
      <c r="C53" s="41">
        <v>59014379</v>
      </c>
      <c r="D53" s="38">
        <f>VLOOKUP($C53,'Article Reference'!$A$3:$D$53,4,FALSE)</f>
        <v>684.8</v>
      </c>
      <c r="E53" s="39">
        <f>VLOOKUP(C53,'Step 2 - Order Planner'!$C$26:$H$77,4,FALSE)+VLOOKUP(C53,'Step 2 - Order Planner'!$C$26:$H$77,6,FALSE)</f>
        <v>0</v>
      </c>
      <c r="F53" s="40">
        <f t="shared" si="0"/>
        <v>0</v>
      </c>
    </row>
    <row r="54" spans="1:6" ht="15" x14ac:dyDescent="0.2">
      <c r="A54" s="37" t="str">
        <f>VLOOKUP($C54,'Article Reference'!$A$3:$D$53,2,FALSE)</f>
        <v>Pageant® Intrinsic® brand Fungicide</v>
      </c>
      <c r="B54" s="41" t="str">
        <f>VLOOKUP($C54,'Article Reference'!$A$3:$D$53,3,FALSE)</f>
        <v>4 x 1 lb</v>
      </c>
      <c r="C54" s="41">
        <v>59012349</v>
      </c>
      <c r="D54" s="38">
        <f>VLOOKUP($C54,'Article Reference'!$A$3:$D$53,4,FALSE)</f>
        <v>460</v>
      </c>
      <c r="E54" s="39">
        <f>VLOOKUP(C54,'Step 2 - Order Planner'!$C$26:$H$77,4,FALSE)+VLOOKUP(C54,'Step 2 - Order Planner'!$C$26:$H$77,6,FALSE)</f>
        <v>0</v>
      </c>
      <c r="F54" s="40">
        <f t="shared" si="0"/>
        <v>0</v>
      </c>
    </row>
    <row r="55" spans="1:6" ht="15" x14ac:dyDescent="0.2">
      <c r="A55" s="37" t="str">
        <f>VLOOKUP($C55,'Article Reference'!$A$3:$D$53,2,FALSE)</f>
        <v>Pendulum® 2G herbicide</v>
      </c>
      <c r="B55" s="41" t="str">
        <f>VLOOKUP($C55,'Article Reference'!$A$3:$D$53,3,FALSE)</f>
        <v>20 lbs bag</v>
      </c>
      <c r="C55" s="41">
        <v>59017972</v>
      </c>
      <c r="D55" s="38">
        <f>VLOOKUP($C55,'Article Reference'!$A$3:$D$53,4,FALSE)</f>
        <v>52.5</v>
      </c>
      <c r="E55" s="39">
        <f>VLOOKUP(C55,'Step 2 - Order Planner'!$C$26:$H$77,4,FALSE)+VLOOKUP(C55,'Step 2 - Order Planner'!$C$26:$H$77,6,FALSE)</f>
        <v>0</v>
      </c>
      <c r="F55" s="40">
        <f t="shared" si="0"/>
        <v>0</v>
      </c>
    </row>
    <row r="56" spans="1:6" ht="15" x14ac:dyDescent="0.2">
      <c r="A56" s="37" t="str">
        <f>VLOOKUP($C56,'Article Reference'!$A$3:$D$53,2,FALSE)</f>
        <v>Pendulum® 2G herbicide</v>
      </c>
      <c r="B56" s="41" t="str">
        <f>VLOOKUP($C56,'Article Reference'!$A$3:$D$53,3,FALSE)</f>
        <v>40 lbs bag</v>
      </c>
      <c r="C56" s="41">
        <v>59015072</v>
      </c>
      <c r="D56" s="38">
        <f>VLOOKUP($C56,'Article Reference'!$A$3:$D$53,4,FALSE)</f>
        <v>92</v>
      </c>
      <c r="E56" s="39">
        <f>VLOOKUP(C56,'Step 2 - Order Planner'!$C$26:$H$77,4,FALSE)+VLOOKUP(C56,'Step 2 - Order Planner'!$C$26:$H$77,6,FALSE)</f>
        <v>0</v>
      </c>
      <c r="F56" s="40">
        <f t="shared" ref="F56:F66" si="4">E56*D56</f>
        <v>0</v>
      </c>
    </row>
    <row r="57" spans="1:6" ht="15" x14ac:dyDescent="0.2">
      <c r="A57" s="37" t="str">
        <f>VLOOKUP($C57,'Article Reference'!$A$3:$D$53,2,FALSE)</f>
        <v>Pendulum® AquaCap herbicide</v>
      </c>
      <c r="B57" s="41" t="str">
        <f>VLOOKUP($C57,'Article Reference'!$A$3:$D$53,3,FALSE)</f>
        <v>2 x 2.5 gal</v>
      </c>
      <c r="C57" s="41">
        <v>59049276</v>
      </c>
      <c r="D57" s="38">
        <f>VLOOKUP($C57,'Article Reference'!$A$3:$D$53,4,FALSE)</f>
        <v>290.63</v>
      </c>
      <c r="E57" s="39">
        <f>VLOOKUP(C57,'Step 2 - Order Planner'!$C$26:$H$77,4,FALSE)+VLOOKUP(C57,'Step 2 - Order Planner'!$C$26:$H$77,6,FALSE)</f>
        <v>0</v>
      </c>
      <c r="F57" s="40">
        <f t="shared" si="4"/>
        <v>0</v>
      </c>
    </row>
    <row r="58" spans="1:6" ht="15" x14ac:dyDescent="0.2">
      <c r="A58" s="37" t="str">
        <f>VLOOKUP($C58,'Article Reference'!$A$3:$D$53,2,FALSE)</f>
        <v>Pendulum® AquaCap herbicide</v>
      </c>
      <c r="B58" s="41" t="str">
        <f>VLOOKUP($C58,'Article Reference'!$A$3:$D$53,3,FALSE)</f>
        <v>1 x 15 gal</v>
      </c>
      <c r="C58" s="41">
        <v>59011279</v>
      </c>
      <c r="D58" s="38">
        <f>VLOOKUP($C58,'Article Reference'!$A$3:$D$53,4,FALSE)</f>
        <v>1035</v>
      </c>
      <c r="E58" s="39">
        <f>VLOOKUP(C58,'Step 2 - Order Planner'!$C$26:$H$77,4,FALSE)+VLOOKUP(C58,'Step 2 - Order Planner'!$C$26:$H$77,6,FALSE)</f>
        <v>0</v>
      </c>
      <c r="F58" s="40">
        <f>E58*D58</f>
        <v>0</v>
      </c>
    </row>
    <row r="59" spans="1:6" ht="15" x14ac:dyDescent="0.2">
      <c r="A59" s="37" t="str">
        <f>VLOOKUP($C59,'Article Reference'!$A$3:$D$53,2,FALSE)</f>
        <v>Pillar® G Intrinsic® brand fungicide</v>
      </c>
      <c r="B59" s="41" t="str">
        <f>VLOOKUP($C59,'Article Reference'!$A$3:$D$53,3,FALSE)</f>
        <v>15 lbs bag</v>
      </c>
      <c r="C59" s="41">
        <v>59017959</v>
      </c>
      <c r="D59" s="38">
        <f>VLOOKUP($C59,'Article Reference'!$A$3:$D$53,4,FALSE)</f>
        <v>60.75</v>
      </c>
      <c r="E59" s="39">
        <f>VLOOKUP(C59,'Step 2 - Order Planner'!$C$26:$H$77,4,FALSE)+VLOOKUP(C59,'Step 2 - Order Planner'!$C$26:$H$77,6,FALSE)</f>
        <v>0</v>
      </c>
      <c r="F59" s="40">
        <f t="shared" si="4"/>
        <v>0</v>
      </c>
    </row>
    <row r="60" spans="1:6" ht="15" x14ac:dyDescent="0.2">
      <c r="A60" s="37" t="str">
        <f>VLOOKUP($C60,'Article Reference'!$A$3:$D$53,2,FALSE)</f>
        <v>Pillar® G Intrinsic® brand fungicide</v>
      </c>
      <c r="B60" s="41" t="str">
        <f>VLOOKUP($C60,'Article Reference'!$A$3:$D$53,3,FALSE)</f>
        <v>30 lbs bag</v>
      </c>
      <c r="C60" s="41">
        <v>59012784</v>
      </c>
      <c r="D60" s="38">
        <f>VLOOKUP($C60,'Article Reference'!$A$3:$D$53,4,FALSE)</f>
        <v>112.5</v>
      </c>
      <c r="E60" s="39">
        <f>VLOOKUP(C60,'Step 2 - Order Planner'!$C$26:$H$77,4,FALSE)+VLOOKUP(C60,'Step 2 - Order Planner'!$C$26:$H$77,6,FALSE)</f>
        <v>0</v>
      </c>
      <c r="F60" s="40">
        <f t="shared" si="4"/>
        <v>0</v>
      </c>
    </row>
    <row r="61" spans="1:6" ht="15" x14ac:dyDescent="0.2">
      <c r="A61" s="37" t="str">
        <f>VLOOKUP($C61,'Article Reference'!$A$3:$D$53,2,FALSE)</f>
        <v>Pylex® herbicide</v>
      </c>
      <c r="B61" s="41" t="str">
        <f>VLOOKUP($C61,'Article Reference'!$A$3:$D$53,3,FALSE)</f>
        <v>4 x 4 oz</v>
      </c>
      <c r="C61" s="41">
        <v>59018005</v>
      </c>
      <c r="D61" s="38">
        <f>VLOOKUP($C61,'Article Reference'!$A$3:$D$53,4,FALSE)</f>
        <v>1552</v>
      </c>
      <c r="E61" s="39">
        <f>VLOOKUP(C61,'Step 2 - Order Planner'!$C$26:$H$77,4,FALSE)+VLOOKUP(C61,'Step 2 - Order Planner'!$C$26:$H$77,6,FALSE)</f>
        <v>0</v>
      </c>
      <c r="F61" s="40">
        <f t="shared" si="4"/>
        <v>0</v>
      </c>
    </row>
    <row r="62" spans="1:6" ht="15" x14ac:dyDescent="0.2">
      <c r="A62" s="37" t="str">
        <f>VLOOKUP($C62,'Article Reference'!$A$3:$D$53,2,FALSE)</f>
        <v>Segment® II herbicide</v>
      </c>
      <c r="B62" s="41" t="str">
        <f>VLOOKUP($C62,'Article Reference'!$A$3:$D$53,3,FALSE)</f>
        <v>2 x 2.5 gal</v>
      </c>
      <c r="C62" s="41">
        <v>59014427</v>
      </c>
      <c r="D62" s="38">
        <f>VLOOKUP($C62,'Article Reference'!$A$3:$D$53,4,FALSE)</f>
        <v>1706.25</v>
      </c>
      <c r="E62" s="39">
        <f>VLOOKUP(C62,'Step 2 - Order Planner'!$C$26:$H$77,4,FALSE)+VLOOKUP(C62,'Step 2 - Order Planner'!$C$26:$H$77,6,FALSE)</f>
        <v>0</v>
      </c>
      <c r="F62" s="40">
        <f t="shared" si="4"/>
        <v>0</v>
      </c>
    </row>
    <row r="63" spans="1:6" ht="15" x14ac:dyDescent="0.2">
      <c r="A63" s="37" t="str">
        <f>VLOOKUP($C63,'Article Reference'!$A$3:$D$53,2,FALSE)</f>
        <v>Siesta® Fire Ant Bait</v>
      </c>
      <c r="B63" s="41" t="str">
        <f>VLOOKUP($C63,'Article Reference'!$A$3:$D$53,3,FALSE)</f>
        <v>15 lbs</v>
      </c>
      <c r="C63" s="41">
        <v>59011057</v>
      </c>
      <c r="D63" s="38">
        <f>VLOOKUP($C63,'Article Reference'!$A$3:$D$53,4,FALSE)</f>
        <v>318.75</v>
      </c>
      <c r="E63" s="39">
        <f>VLOOKUP(C63,'Step 2 - Order Planner'!$C$26:$H$77,4,FALSE)+VLOOKUP(C63,'Step 2 - Order Planner'!$C$26:$H$77,6,FALSE)</f>
        <v>0</v>
      </c>
      <c r="F63" s="40">
        <f t="shared" si="4"/>
        <v>0</v>
      </c>
    </row>
    <row r="64" spans="1:6" ht="15" x14ac:dyDescent="0.2">
      <c r="A64" s="37" t="str">
        <f>VLOOKUP($C64,'Article Reference'!$A$3:$D$53,2,FALSE)</f>
        <v>Sultan® miticide</v>
      </c>
      <c r="B64" s="41" t="str">
        <f>VLOOKUP($C64,'Article Reference'!$A$3:$D$53,3,FALSE)</f>
        <v>4 x 0.125 gal</v>
      </c>
      <c r="C64" s="41">
        <v>59023753</v>
      </c>
      <c r="D64" s="38">
        <f>VLOOKUP($C64,'Article Reference'!$A$3:$D$53,4,FALSE)</f>
        <v>740</v>
      </c>
      <c r="E64" s="39">
        <f>VLOOKUP(C64,'Step 2 - Order Planner'!$C$26:$H$77,4,FALSE)+VLOOKUP(C64,'Step 2 - Order Planner'!$C$26:$H$77,6,FALSE)</f>
        <v>0</v>
      </c>
      <c r="F64" s="40">
        <f t="shared" si="4"/>
        <v>0</v>
      </c>
    </row>
    <row r="65" spans="1:6" ht="15" x14ac:dyDescent="0.2">
      <c r="A65" s="37" t="str">
        <f>VLOOKUP($C65,'Article Reference'!$A$3:$D$53,2,FALSE)</f>
        <v>Tower® herbicide</v>
      </c>
      <c r="B65" s="41" t="str">
        <f>VLOOKUP($C65,'Article Reference'!$A$3:$D$53,3,FALSE)</f>
        <v>2 x 2.5 gal</v>
      </c>
      <c r="C65" s="41">
        <v>59014247</v>
      </c>
      <c r="D65" s="38">
        <f>VLOOKUP($C65,'Article Reference'!$A$3:$D$53,4,FALSE)</f>
        <v>2100</v>
      </c>
      <c r="E65" s="39">
        <f>VLOOKUP(C65,'Step 2 - Order Planner'!$C$26:$H$77,4,FALSE)+VLOOKUP(C65,'Step 2 - Order Planner'!$C$26:$H$77,6,FALSE)</f>
        <v>0</v>
      </c>
      <c r="F65" s="40">
        <f t="shared" si="4"/>
        <v>0</v>
      </c>
    </row>
    <row r="66" spans="1:6" ht="15" x14ac:dyDescent="0.2">
      <c r="A66" s="37" t="str">
        <f>VLOOKUP($C66,'Article Reference'!$A$3:$D$53,2,FALSE)</f>
        <v>Turf Mark spray indicator - blue</v>
      </c>
      <c r="B66" s="41" t="str">
        <f>VLOOKUP($C66,'Article Reference'!$A$3:$D$53,3,FALSE)</f>
        <v>12 x 0.25 gal</v>
      </c>
      <c r="C66" s="41">
        <v>59013723</v>
      </c>
      <c r="D66" s="38">
        <f>VLOOKUP($C66,'Article Reference'!$A$3:$D$53,4,FALSE)</f>
        <v>273.75</v>
      </c>
      <c r="E66" s="39">
        <f>VLOOKUP(C66,'Step 2 - Order Planner'!$C$26:$H$77,4,FALSE)+VLOOKUP(C66,'Step 2 - Order Planner'!$C$26:$H$77,6,FALSE)</f>
        <v>0</v>
      </c>
      <c r="F66" s="40">
        <f t="shared" si="4"/>
        <v>0</v>
      </c>
    </row>
    <row r="67" spans="1:6" ht="15" x14ac:dyDescent="0.2">
      <c r="A67" s="37" t="str">
        <f>VLOOKUP($C67,'Article Reference'!$A$3:$D$53,2,FALSE)</f>
        <v>Turf Mark spray indicator - blue</v>
      </c>
      <c r="B67" s="41" t="str">
        <f>VLOOKUP($C67,'Article Reference'!$A$3:$D$53,3,FALSE)</f>
        <v>1 x 30 gal</v>
      </c>
      <c r="C67" s="41">
        <v>59013314</v>
      </c>
      <c r="D67" s="38">
        <f>VLOOKUP($C67,'Article Reference'!$A$3:$D$53,4,FALSE)</f>
        <v>1717.5</v>
      </c>
      <c r="E67" s="39">
        <f>VLOOKUP(C67,'Step 2 - Order Planner'!$C$26:$H$77,4,FALSE)+VLOOKUP(C67,'Step 2 - Order Planner'!$C$26:$H$77,6,FALSE)</f>
        <v>0</v>
      </c>
      <c r="F67" s="40">
        <f t="shared" si="0"/>
        <v>0</v>
      </c>
    </row>
    <row r="68" spans="1:6" ht="15" x14ac:dyDescent="0.2">
      <c r="A68" s="37" t="str">
        <f>VLOOKUP($C68,'Article Reference'!$A$3:$D$53,2,FALSE)</f>
        <v>Turf Mark spray indicator - blue</v>
      </c>
      <c r="B68" s="41" t="str">
        <f>VLOOKUP($C68,'Article Reference'!$A$3:$D$53,3,FALSE)</f>
        <v>2 x 2.5 gal</v>
      </c>
      <c r="C68" s="41">
        <v>59030213</v>
      </c>
      <c r="D68" s="38">
        <f>VLOOKUP($C68,'Article Reference'!$A$3:$D$53,4,FALSE)</f>
        <v>305.63</v>
      </c>
      <c r="E68" s="39">
        <f>VLOOKUP(C68,'Step 2 - Order Planner'!$C$26:$H$77,4,FALSE)+VLOOKUP(C68,'Step 2 - Order Planner'!$C$26:$H$77,6,FALSE)</f>
        <v>0</v>
      </c>
      <c r="F68" s="40">
        <f t="shared" ref="F68" si="5">E68*D68</f>
        <v>0</v>
      </c>
    </row>
    <row r="69" spans="1:6" ht="15" x14ac:dyDescent="0.2">
      <c r="A69" s="37" t="str">
        <f>VLOOKUP($C69,'Article Reference'!$A$3:$D$53,2,FALSE)</f>
        <v>Turf Mark spray indicator - blue</v>
      </c>
      <c r="B69" s="41" t="str">
        <f>VLOOKUP($C69,'Article Reference'!$A$3:$D$53,3,FALSE)</f>
        <v>4 x 1 gal</v>
      </c>
      <c r="C69" s="41">
        <v>59013420</v>
      </c>
      <c r="D69" s="38">
        <f>VLOOKUP($C69,'Article Reference'!$A$3:$D$53,4,FALSE)</f>
        <v>262.5</v>
      </c>
      <c r="E69" s="39">
        <f>VLOOKUP(C69,'Step 2 - Order Planner'!$C$26:$H$77,4,FALSE)+VLOOKUP(C69,'Step 2 - Order Planner'!$C$26:$H$77,6,FALSE)</f>
        <v>0</v>
      </c>
      <c r="F69" s="40">
        <f t="shared" ref="F69" si="6">E69*D69</f>
        <v>0</v>
      </c>
    </row>
    <row r="70" spans="1:6" ht="15" x14ac:dyDescent="0.2">
      <c r="A70" s="37" t="str">
        <f>VLOOKUP($C70,'Article Reference'!$A$3:$D$53,2,FALSE)</f>
        <v>Ventigra® insecticide</v>
      </c>
      <c r="B70" s="41" t="str">
        <f>VLOOKUP($C70,'Article Reference'!$A$3:$D$53,3,FALSE)</f>
        <v>4 x 20 oz</v>
      </c>
      <c r="C70" s="41">
        <v>59014680</v>
      </c>
      <c r="D70" s="38">
        <f>VLOOKUP($C70,'Article Reference'!$A$3:$D$53,4,FALSE)</f>
        <v>1360</v>
      </c>
      <c r="E70" s="39">
        <f>VLOOKUP(C70,'Step 2 - Order Planner'!$C$26:$H$77,4,FALSE)+VLOOKUP(C70,'Step 2 - Order Planner'!$C$26:$H$77,6,FALSE)</f>
        <v>0</v>
      </c>
      <c r="F70" s="40">
        <f t="shared" ref="F70" si="7">E70*D70</f>
        <v>0</v>
      </c>
    </row>
    <row r="71" spans="1:6" ht="15.75" customHeight="1" x14ac:dyDescent="0.2">
      <c r="A71" s="272" t="s">
        <v>250</v>
      </c>
      <c r="B71" s="273"/>
      <c r="C71" s="273"/>
      <c r="D71" s="273"/>
      <c r="E71" s="274"/>
      <c r="F71" s="155">
        <f>'Step 2 - Order Planner'!H19</f>
        <v>0</v>
      </c>
    </row>
    <row r="73" spans="1:6" x14ac:dyDescent="0.2">
      <c r="A73" s="208" t="s">
        <v>269</v>
      </c>
      <c r="B73" s="208"/>
      <c r="C73" s="208"/>
      <c r="D73" s="208"/>
      <c r="E73" s="208"/>
      <c r="F73" s="208"/>
    </row>
    <row r="74" spans="1:6" x14ac:dyDescent="0.2">
      <c r="A74" s="208"/>
      <c r="B74" s="208"/>
      <c r="C74" s="208"/>
      <c r="D74" s="208"/>
      <c r="E74" s="208"/>
      <c r="F74" s="208"/>
    </row>
    <row r="75" spans="1:6" x14ac:dyDescent="0.2">
      <c r="A75" s="208"/>
      <c r="B75" s="208"/>
      <c r="C75" s="208"/>
      <c r="D75" s="208"/>
      <c r="E75" s="208"/>
      <c r="F75" s="208"/>
    </row>
    <row r="76" spans="1:6" x14ac:dyDescent="0.2">
      <c r="A76" s="208"/>
      <c r="B76" s="208"/>
      <c r="C76" s="208"/>
      <c r="D76" s="208"/>
      <c r="E76" s="208"/>
      <c r="F76" s="208"/>
    </row>
    <row r="77" spans="1:6" x14ac:dyDescent="0.2">
      <c r="A77" s="208"/>
      <c r="B77" s="208"/>
      <c r="C77" s="208"/>
      <c r="D77" s="208"/>
      <c r="E77" s="208"/>
      <c r="F77" s="208"/>
    </row>
    <row r="78" spans="1:6" x14ac:dyDescent="0.2">
      <c r="A78" s="208"/>
      <c r="B78" s="208"/>
      <c r="C78" s="208"/>
      <c r="D78" s="208"/>
      <c r="E78" s="208"/>
      <c r="F78" s="208"/>
    </row>
    <row r="79" spans="1:6" x14ac:dyDescent="0.2">
      <c r="A79" s="208"/>
      <c r="B79" s="208"/>
      <c r="C79" s="208"/>
      <c r="D79" s="208"/>
      <c r="E79" s="208"/>
      <c r="F79" s="208"/>
    </row>
    <row r="80" spans="1:6" x14ac:dyDescent="0.2">
      <c r="A80" s="208"/>
      <c r="B80" s="208"/>
      <c r="C80" s="208"/>
      <c r="D80" s="208"/>
      <c r="E80" s="208"/>
      <c r="F80" s="208"/>
    </row>
    <row r="81" spans="1:6" x14ac:dyDescent="0.2">
      <c r="A81" s="208"/>
      <c r="B81" s="208"/>
      <c r="C81" s="208"/>
      <c r="D81" s="208"/>
      <c r="E81" s="208"/>
      <c r="F81" s="208"/>
    </row>
    <row r="82" spans="1:6" x14ac:dyDescent="0.2">
      <c r="A82" s="208"/>
      <c r="B82" s="208"/>
      <c r="C82" s="208"/>
      <c r="D82" s="208"/>
      <c r="E82" s="208"/>
      <c r="F82" s="208"/>
    </row>
  </sheetData>
  <sheetProtection algorithmName="SHA-512" hashValue="txUysKO3OqKYloBt8JUN8Mg++N5Baq9c8XKD9ZGGU0Mh+feata/ojSHxhYCOktUXYkhnoFtoKiiVvKOIIdy9nQ==" saltValue="M3//PT/Ld8lYOMB3Ks9yQw==" spinCount="100000" sheet="1" objects="1" scenarios="1"/>
  <protectedRanges>
    <protectedRange sqref="A15:C19" name="Range1"/>
  </protectedRanges>
  <autoFilter ref="A25:F71" xr:uid="{00000000-0009-0000-0000-000002000000}"/>
  <mergeCells count="13">
    <mergeCell ref="A11:F12"/>
    <mergeCell ref="A73:F82"/>
    <mergeCell ref="A41:E41"/>
    <mergeCell ref="A71:E71"/>
    <mergeCell ref="D14:E14"/>
    <mergeCell ref="D15:E15"/>
    <mergeCell ref="D16:E16"/>
    <mergeCell ref="D17:E17"/>
    <mergeCell ref="D18:E18"/>
    <mergeCell ref="D21:E22"/>
    <mergeCell ref="F21:F22"/>
    <mergeCell ref="D19:E19"/>
    <mergeCell ref="D20:E20"/>
  </mergeCells>
  <pageMargins left="0.7" right="0.7" top="0.75" bottom="0.75" header="0.3" footer="0.3"/>
  <pageSetup scale="53" orientation="portrait" r:id="rId1"/>
  <headerFooter>
    <oddFooter>&amp;C_x000D_&amp;1#&amp;"Arial"&amp;10&amp;K000000 Internal</oddFooter>
  </headerFooter>
  <drawing r:id="rId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S25"/>
  <sheetViews>
    <sheetView workbookViewId="0">
      <selection activeCell="L10" sqref="L10"/>
    </sheetView>
  </sheetViews>
  <sheetFormatPr defaultColWidth="8.85546875" defaultRowHeight="15" x14ac:dyDescent="0.25"/>
  <cols>
    <col min="1" max="1" width="12.7109375" style="13" bestFit="1" customWidth="1"/>
    <col min="2" max="2" width="15.7109375" style="13" bestFit="1" customWidth="1"/>
    <col min="3" max="3" width="8.85546875" style="13"/>
    <col min="4" max="4" width="8.85546875" style="16"/>
    <col min="5" max="5" width="11.42578125" style="13" bestFit="1" customWidth="1"/>
    <col min="6" max="6" width="16.42578125" style="13" customWidth="1"/>
    <col min="7" max="7" width="14.85546875" style="13" bestFit="1" customWidth="1"/>
    <col min="8" max="8" width="12.28515625" style="13" bestFit="1" customWidth="1"/>
    <col min="9" max="11" width="8.85546875" style="13"/>
    <col min="12" max="12" width="11.7109375" style="13" bestFit="1" customWidth="1"/>
    <col min="13" max="13" width="32.140625" style="13" bestFit="1" customWidth="1"/>
    <col min="14" max="14" width="10.140625" style="13" bestFit="1" customWidth="1"/>
    <col min="15" max="15" width="16.7109375" style="13" bestFit="1" customWidth="1"/>
    <col min="16" max="17" width="16.7109375" style="13" customWidth="1"/>
    <col min="18" max="18" width="14.42578125" style="13" bestFit="1" customWidth="1"/>
    <col min="19" max="19" width="13.5703125" style="13" customWidth="1"/>
    <col min="20" max="16384" width="8.85546875" style="13"/>
  </cols>
  <sheetData>
    <row r="1" spans="1:19" x14ac:dyDescent="0.25">
      <c r="A1" s="13" t="s">
        <v>96</v>
      </c>
      <c r="C1" s="13" t="s">
        <v>33</v>
      </c>
      <c r="D1" s="13" t="s">
        <v>34</v>
      </c>
      <c r="L1" s="17" t="s">
        <v>103</v>
      </c>
      <c r="M1" s="17" t="s">
        <v>102</v>
      </c>
      <c r="N1" s="17" t="s">
        <v>0</v>
      </c>
      <c r="O1" s="17" t="s">
        <v>124</v>
      </c>
      <c r="P1" s="17" t="s">
        <v>125</v>
      </c>
      <c r="Q1" s="17" t="s">
        <v>122</v>
      </c>
      <c r="R1" s="17" t="s">
        <v>123</v>
      </c>
      <c r="S1" s="17" t="s">
        <v>58</v>
      </c>
    </row>
    <row r="2" spans="1:19" x14ac:dyDescent="0.25">
      <c r="A2" s="17" t="s">
        <v>35</v>
      </c>
      <c r="B2" s="17" t="s">
        <v>36</v>
      </c>
      <c r="C2" s="17" t="s">
        <v>37</v>
      </c>
      <c r="D2" s="17" t="s">
        <v>37</v>
      </c>
      <c r="E2" s="17" t="s">
        <v>38</v>
      </c>
      <c r="F2" s="17"/>
      <c r="G2" s="17" t="s">
        <v>51</v>
      </c>
      <c r="L2" s="165">
        <v>59026671</v>
      </c>
      <c r="M2" s="166" t="str">
        <f>VLOOKUP($L2,'Article Reference'!$A$3:$C$17,2,FALSE)</f>
        <v>Aramax™ Intrinsic® brand Fungicide</v>
      </c>
      <c r="N2" s="165" t="str">
        <f>VLOOKUP($L2,'Article Reference'!$A$3:$C$17,3,FALSE)</f>
        <v>2 x 2.5 gal</v>
      </c>
      <c r="O2" s="167">
        <f>VLOOKUP(L2,'Step 2 - Order Planner'!$C$26:$F$40,4,FALSE)</f>
        <v>0</v>
      </c>
      <c r="P2" s="167">
        <f>VLOOKUP(L2,'Step 2 - Order Planner'!$C$26:$H$40,6,FALSE)</f>
        <v>0</v>
      </c>
      <c r="Q2" s="283">
        <f>IF(O2+O3&gt;0,1,0)</f>
        <v>0</v>
      </c>
      <c r="R2" s="283">
        <f>IF(P2+P3&gt;0,1,0)</f>
        <v>0</v>
      </c>
      <c r="S2" s="283">
        <f>IF(OR(Q2=1,R2=1),1,0)</f>
        <v>0</v>
      </c>
    </row>
    <row r="3" spans="1:19" x14ac:dyDescent="0.25">
      <c r="A3" s="14">
        <v>3000</v>
      </c>
      <c r="B3" s="14">
        <f>A4-1</f>
        <v>7999</v>
      </c>
      <c r="C3" s="15">
        <v>0.04</v>
      </c>
      <c r="D3" s="15">
        <v>0.04</v>
      </c>
      <c r="E3" s="15" t="b">
        <f>IF(AND(('Step 2 - Order Planner'!$H$19+$E$7)&gt;=3000,'Step 2 - Order Planner'!$H$19+$E$7&gt;=$A3,'Step 2 - Order Planner'!$H$19+$E$7&lt;=$B3),C3)</f>
        <v>0</v>
      </c>
      <c r="F3" s="15"/>
      <c r="G3" s="15">
        <f>SUM(E3:F3)</f>
        <v>0</v>
      </c>
      <c r="L3" s="165">
        <v>59032979</v>
      </c>
      <c r="M3" s="166" t="str">
        <f>VLOOKUP($L3,'Article Reference'!$A$3:$C$17,2,FALSE)</f>
        <v>Aramax™ Intrinsic brand fungicide</v>
      </c>
      <c r="N3" s="165" t="str">
        <f>VLOOKUP($L3,'Article Reference'!$A$3:$C$17,3,FALSE)</f>
        <v>4 x 43.5 fl oz</v>
      </c>
      <c r="O3" s="167"/>
      <c r="P3" s="167"/>
      <c r="Q3" s="284"/>
      <c r="R3" s="284"/>
      <c r="S3" s="284"/>
    </row>
    <row r="4" spans="1:19" x14ac:dyDescent="0.25">
      <c r="A4" s="14">
        <v>8000</v>
      </c>
      <c r="B4" s="14">
        <f>A5-1</f>
        <v>19999</v>
      </c>
      <c r="C4" s="15">
        <v>0.06</v>
      </c>
      <c r="D4" s="15">
        <v>0.06</v>
      </c>
      <c r="E4" s="15" t="b">
        <f>IF(AND(('Step 2 - Order Planner'!$H$19+$E$7)&gt;=3000,'Step 2 - Order Planner'!$H$19+$E$7&gt;=$A4,'Step 2 - Order Planner'!$H$19+$E$7&lt;=$B4),C4)</f>
        <v>0</v>
      </c>
      <c r="F4" s="15"/>
      <c r="G4" s="15">
        <f>SUM(E4:F4)</f>
        <v>0</v>
      </c>
      <c r="L4" s="63">
        <v>59021463</v>
      </c>
      <c r="M4" s="64" t="str">
        <f>VLOOKUP($L4,'Article Reference'!$A$5:$C$17,2,FALSE)</f>
        <v>Emerald® fungicide</v>
      </c>
      <c r="N4" s="63" t="str">
        <f>VLOOKUP($L4,'Article Reference'!$A$5:$C$17,3,FALSE)</f>
        <v>10 x 0.49 lb</v>
      </c>
      <c r="O4" s="168">
        <f>VLOOKUP(L4,'Step 2 - Order Planner'!$C$26:$F$40,4,FALSE)</f>
        <v>0</v>
      </c>
      <c r="P4" s="168">
        <f>VLOOKUP(L4,'Step 2 - Order Planner'!$C$26:$H$40,6,FALSE)</f>
        <v>0</v>
      </c>
      <c r="Q4" s="169">
        <f t="shared" ref="Q4:R5" si="0">IF(O4&gt;0,1,0)</f>
        <v>0</v>
      </c>
      <c r="R4" s="169">
        <f t="shared" si="0"/>
        <v>0</v>
      </c>
      <c r="S4" s="169">
        <f>IF(OR(Q4=1,R4=1),1,0)</f>
        <v>0</v>
      </c>
    </row>
    <row r="5" spans="1:19" x14ac:dyDescent="0.25">
      <c r="A5" s="14">
        <v>20000</v>
      </c>
      <c r="B5" s="14">
        <v>1000000</v>
      </c>
      <c r="C5" s="15">
        <v>0.12</v>
      </c>
      <c r="D5" s="15">
        <v>0.12</v>
      </c>
      <c r="E5" s="15" t="b">
        <f>IF(AND(('Step 2 - Order Planner'!$H$19+$E$7)&gt;=3000,'Step 2 - Order Planner'!$H$19+$E$7&gt;=$A5,'Step 2 - Order Planner'!$H$19+$E$7&lt;=$B5),C5)</f>
        <v>0</v>
      </c>
      <c r="F5" s="15"/>
      <c r="G5" s="15">
        <f>SUM(E5:F5)</f>
        <v>0</v>
      </c>
      <c r="L5" s="122">
        <v>59014003</v>
      </c>
      <c r="M5" s="123" t="str">
        <f>VLOOKUP($L5,'Article Reference'!$A$5:$C$17,2,FALSE)</f>
        <v>Encartis® fungicide</v>
      </c>
      <c r="N5" s="122" t="str">
        <f>VLOOKUP($L5,'Article Reference'!$A$5:$C$17,3,FALSE)</f>
        <v>2 x 2.5 gal</v>
      </c>
      <c r="O5" s="124">
        <f>VLOOKUP(L5,'Step 2 - Order Planner'!$C$26:$F$40,4,FALSE)</f>
        <v>0</v>
      </c>
      <c r="P5" s="124">
        <f>VLOOKUP(L5,'Step 2 - Order Planner'!$C$26:$H$40,6,FALSE)</f>
        <v>0</v>
      </c>
      <c r="Q5" s="125">
        <f t="shared" si="0"/>
        <v>0</v>
      </c>
      <c r="R5" s="125">
        <f t="shared" si="0"/>
        <v>0</v>
      </c>
      <c r="S5" s="125">
        <f>IF(OR(Q5=1,R5=1),1,0)</f>
        <v>0</v>
      </c>
    </row>
    <row r="6" spans="1:19" x14ac:dyDescent="0.25">
      <c r="C6" s="178" t="s">
        <v>40</v>
      </c>
      <c r="D6" s="179"/>
      <c r="E6" s="18">
        <f>SUM(E3:E5)</f>
        <v>0</v>
      </c>
      <c r="F6" s="18"/>
      <c r="G6" s="18">
        <f>SUM(E6:F6)</f>
        <v>0</v>
      </c>
      <c r="L6" s="65">
        <v>59012350</v>
      </c>
      <c r="M6" s="66" t="str">
        <f>VLOOKUP($L6,'Article Reference'!$A$5:$C$17,2,FALSE)</f>
        <v>Honor® Intrinsic® brand fungicide</v>
      </c>
      <c r="N6" s="65" t="str">
        <f>VLOOKUP($L6,'Article Reference'!$A$5:$C$17,3,FALSE)</f>
        <v>6 x 3 lb</v>
      </c>
      <c r="O6" s="67">
        <f>VLOOKUP(L6,'Step 2 - Order Planner'!$C$26:$F$40,4,FALSE)</f>
        <v>0</v>
      </c>
      <c r="P6" s="67">
        <f>VLOOKUP(L6,'Step 2 - Order Planner'!$C$26:$H$40,6,FALSE)</f>
        <v>0</v>
      </c>
      <c r="Q6" s="287">
        <f>IF(O6+O7&gt;0,1,0)</f>
        <v>0</v>
      </c>
      <c r="R6" s="287">
        <f>IF(P6+P7&gt;0,1,0)</f>
        <v>0</v>
      </c>
      <c r="S6" s="287">
        <f>IF(OR(Q6=1,R6=1),1,0)</f>
        <v>0</v>
      </c>
    </row>
    <row r="7" spans="1:19" x14ac:dyDescent="0.25">
      <c r="E7" s="104">
        <v>0</v>
      </c>
      <c r="L7" s="65">
        <v>59012885</v>
      </c>
      <c r="M7" s="66" t="str">
        <f>VLOOKUP($L7,'Article Reference'!$A$5:$C$17,2,FALSE)</f>
        <v>Honor® Intrinsic® brand fungicide</v>
      </c>
      <c r="N7" s="65" t="str">
        <f>VLOOKUP($L7,'Article Reference'!$A$5:$C$17,3,FALSE)</f>
        <v>1 x 36 lb</v>
      </c>
      <c r="O7" s="67">
        <f>VLOOKUP(L7,'Step 2 - Order Planner'!$C$26:$F$40,4,FALSE)</f>
        <v>0</v>
      </c>
      <c r="P7" s="67">
        <f>VLOOKUP(L7,'Step 2 - Order Planner'!$C$26:$H$40,6,FALSE)</f>
        <v>0</v>
      </c>
      <c r="Q7" s="288"/>
      <c r="R7" s="288"/>
      <c r="S7" s="288"/>
    </row>
    <row r="8" spans="1:19" x14ac:dyDescent="0.25">
      <c r="L8" s="68">
        <v>59028038</v>
      </c>
      <c r="M8" s="69" t="str">
        <f>VLOOKUP($L8,'Article Reference'!$A$5:$C$17,2,FALSE)</f>
        <v>Insignia® SC Intrinsic® brand fungicide</v>
      </c>
      <c r="N8" s="68" t="str">
        <f>VLOOKUP($L8,'Article Reference'!$A$5:$C$17,3,FALSE)</f>
        <v>4 x 30.5 fl oz</v>
      </c>
      <c r="O8" s="70">
        <f>VLOOKUP(L8,'Step 2 - Order Planner'!$C$26:$F$40,4,FALSE)</f>
        <v>0</v>
      </c>
      <c r="P8" s="70">
        <f>VLOOKUP(L8,'Step 2 - Order Planner'!$C$26:$H$40,6,FALSE)</f>
        <v>0</v>
      </c>
      <c r="Q8" s="289">
        <f>IF(O8+O9&gt;0,1,0)</f>
        <v>0</v>
      </c>
      <c r="R8" s="289">
        <f>IF(P8+P9&gt;0,1,0)</f>
        <v>0</v>
      </c>
      <c r="S8" s="289">
        <f>IF(OR(Q8=1,R8=1),1,0)</f>
        <v>0</v>
      </c>
    </row>
    <row r="9" spans="1:19" x14ac:dyDescent="0.25">
      <c r="A9" s="13" t="s">
        <v>227</v>
      </c>
      <c r="C9" s="13" t="s">
        <v>33</v>
      </c>
      <c r="D9" s="13" t="s">
        <v>34</v>
      </c>
      <c r="L9" s="68">
        <v>59028040</v>
      </c>
      <c r="M9" s="69" t="str">
        <f>VLOOKUP($L9,'Article Reference'!$A$5:$C$17,2,FALSE)</f>
        <v>Insignia® SC Intrinsic® brand fungicide</v>
      </c>
      <c r="N9" s="68" t="str">
        <f>VLOOKUP($L9,'Article Reference'!$A$5:$C$17,3,FALSE)</f>
        <v>2 x 2.5 gal</v>
      </c>
      <c r="O9" s="70">
        <f>VLOOKUP(L9,'Step 2 - Order Planner'!$C$26:$F$40,4,FALSE)</f>
        <v>0</v>
      </c>
      <c r="P9" s="70">
        <f>VLOOKUP(L9,'Step 2 - Order Planner'!$C$26:$H$40,6,FALSE)</f>
        <v>0</v>
      </c>
      <c r="Q9" s="290"/>
      <c r="R9" s="290"/>
      <c r="S9" s="290"/>
    </row>
    <row r="10" spans="1:19" x14ac:dyDescent="0.25">
      <c r="A10" s="17" t="s">
        <v>35</v>
      </c>
      <c r="B10" s="17" t="s">
        <v>36</v>
      </c>
      <c r="C10" s="17" t="s">
        <v>37</v>
      </c>
      <c r="D10" s="17" t="s">
        <v>37</v>
      </c>
      <c r="E10" s="17" t="s">
        <v>38</v>
      </c>
      <c r="F10" s="17" t="s">
        <v>39</v>
      </c>
      <c r="G10" s="17" t="s">
        <v>51</v>
      </c>
      <c r="H10" s="119">
        <f>'Step 2 - Order Planner'!H17:I17</f>
        <v>0</v>
      </c>
      <c r="L10" s="80">
        <v>59027998</v>
      </c>
      <c r="M10" s="81" t="str">
        <f>VLOOKUP($L10,'Article Reference'!$A$5:$C$17,2,FALSE)</f>
        <v>Lexicon® Intrinsic® brand fungicide</v>
      </c>
      <c r="N10" s="80" t="str">
        <f>VLOOKUP($L10,'Article Reference'!$A$5:$C$17,3,FALSE)</f>
        <v>4 x 21 oz</v>
      </c>
      <c r="O10" s="82">
        <f>VLOOKUP(L10,'Step 2 - Order Planner'!$C$26:$F$40,4,FALSE)</f>
        <v>0</v>
      </c>
      <c r="P10" s="82">
        <f>VLOOKUP(L10,'Step 2 - Order Planner'!$C$26:$H$40,6,FALSE)</f>
        <v>0</v>
      </c>
      <c r="Q10" s="83">
        <f>IF(O10&gt;0,1,0)</f>
        <v>0</v>
      </c>
      <c r="R10" s="83">
        <f>IF(P10&gt;0,1,0)</f>
        <v>0</v>
      </c>
      <c r="S10" s="83">
        <f>IF(OR(Q10=1,R10=1),1,0)</f>
        <v>0</v>
      </c>
    </row>
    <row r="11" spans="1:19" x14ac:dyDescent="0.25">
      <c r="A11" s="14">
        <v>3000</v>
      </c>
      <c r="B11" s="14">
        <f>A12-1</f>
        <v>7999</v>
      </c>
      <c r="C11" s="15">
        <v>0.08</v>
      </c>
      <c r="D11" s="15">
        <v>0.03</v>
      </c>
      <c r="E11" s="15" t="b">
        <f>IF(AND(('Step 2 - Order Planner'!$G$41)&gt;=3000,Q18&gt;=1),C11)</f>
        <v>0</v>
      </c>
      <c r="F11" s="15" t="b">
        <f>IF(AND(('Step 2 - Order Planner'!$J$41)&gt;=3000,S18&gt;=1),D11)</f>
        <v>0</v>
      </c>
      <c r="G11" s="15" t="b">
        <f>IF(E11&lt;&gt;FALSE,E11,F11)</f>
        <v>0</v>
      </c>
      <c r="H11" s="119">
        <f>A11-H10</f>
        <v>3000</v>
      </c>
      <c r="I11" s="120">
        <v>0.08</v>
      </c>
      <c r="L11" s="71">
        <v>59018087</v>
      </c>
      <c r="M11" s="72" t="str">
        <f>VLOOKUP($L11,'Article Reference'!$A$5:$C$17,2,FALSE)</f>
        <v>Maxtima® fungicide</v>
      </c>
      <c r="N11" s="71" t="str">
        <f>VLOOKUP($L11,'Article Reference'!$A$5:$C$17,3,FALSE)</f>
        <v>4 x 26 oz</v>
      </c>
      <c r="O11" s="73">
        <f>VLOOKUP(L11,'Step 2 - Order Planner'!$C$26:$F$40,4,FALSE)</f>
        <v>0</v>
      </c>
      <c r="P11" s="73">
        <f>VLOOKUP(L11,'Step 2 - Order Planner'!$C$26:$H$40,6,FALSE)</f>
        <v>0</v>
      </c>
      <c r="Q11" s="291">
        <f>IF(O11+O12&gt;0,1,0)</f>
        <v>0</v>
      </c>
      <c r="R11" s="291">
        <f>IF(P11+P12&gt;0,1,0)</f>
        <v>0</v>
      </c>
      <c r="S11" s="291">
        <f>IF(OR(Q11=1,R11=1),1,0)</f>
        <v>0</v>
      </c>
    </row>
    <row r="12" spans="1:19" x14ac:dyDescent="0.25">
      <c r="A12" s="14">
        <v>8000</v>
      </c>
      <c r="B12" s="14">
        <f>A13-1</f>
        <v>19999</v>
      </c>
      <c r="C12" s="15">
        <v>0.14000000000000001</v>
      </c>
      <c r="D12" s="15">
        <v>0.06</v>
      </c>
      <c r="E12" s="15" t="b">
        <f>IF(AND(('Step 2 - Order Planner'!$G$41)&gt;=3000,$Q$18&gt;=1,'Step 2 - Order Planner'!J41&gt;=$A12,'Step 2 - Order Planner'!J41&lt;=$B12),C12)</f>
        <v>0</v>
      </c>
      <c r="F12" s="15" t="b">
        <f>IF(AND(('Step 2 - Order Planner'!$J$41)&gt;=3000,$S$18&gt;=1,'Step 2 - Order Planner'!J41&gt;=$A12,'Step 2 - Order Planner'!J41&lt;=$B12),D12)</f>
        <v>0</v>
      </c>
      <c r="G12" s="15" t="b">
        <f>IF(E12&lt;&gt;FALSE,E12,F12)</f>
        <v>0</v>
      </c>
      <c r="H12" s="119">
        <f>A12-H10</f>
        <v>8000</v>
      </c>
      <c r="I12" s="120">
        <v>0.14000000000000001</v>
      </c>
      <c r="L12" s="71">
        <v>59018071</v>
      </c>
      <c r="M12" s="72" t="str">
        <f>VLOOKUP($L12,'Article Reference'!$A$5:$C$17,2,FALSE)</f>
        <v>Maxtima® fungicide</v>
      </c>
      <c r="N12" s="71" t="str">
        <f>VLOOKUP($L12,'Article Reference'!$A$5:$C$17,3,FALSE)</f>
        <v>2 x 2.5 gal</v>
      </c>
      <c r="O12" s="73">
        <f>VLOOKUP(L12,'Step 2 - Order Planner'!$C$26:$F$40,4,FALSE)</f>
        <v>0</v>
      </c>
      <c r="P12" s="73">
        <f>VLOOKUP(L12,'Step 2 - Order Planner'!$C$26:$H$40,6,FALSE)</f>
        <v>0</v>
      </c>
      <c r="Q12" s="292"/>
      <c r="R12" s="292"/>
      <c r="S12" s="292"/>
    </row>
    <row r="13" spans="1:19" x14ac:dyDescent="0.25">
      <c r="A13" s="14">
        <v>20000</v>
      </c>
      <c r="B13" s="14">
        <f>A14-1</f>
        <v>29999</v>
      </c>
      <c r="C13" s="15">
        <v>0.17</v>
      </c>
      <c r="D13" s="15">
        <v>0.09</v>
      </c>
      <c r="E13" s="15" t="b">
        <f>IF(AND(('Step 2 - Order Planner'!$G$41)&gt;=3000,Q18&gt;=1,'Step 2 - Order Planner'!J41&gt;=$A13,'Step 2 - Order Planner'!J41&lt;=$B13),C13)</f>
        <v>0</v>
      </c>
      <c r="F13" s="15" t="b">
        <f>IF(AND(('Step 2 - Order Planner'!$J$41)&gt;=3000,$S$18&gt;=1,'Step 2 - Order Planner'!J41&gt;=$A13,'Step 2 - Order Planner'!J41&lt;=$B13),D13)</f>
        <v>0</v>
      </c>
      <c r="G13" s="15" t="b">
        <f>IF(E13&lt;&gt;FALSE,E13,F13)</f>
        <v>0</v>
      </c>
      <c r="H13" s="119">
        <f>A13-H10</f>
        <v>20000</v>
      </c>
      <c r="I13" s="120">
        <v>0.17</v>
      </c>
      <c r="L13" s="74">
        <v>59018094</v>
      </c>
      <c r="M13" s="75" t="str">
        <f>VLOOKUP($L13,'Article Reference'!$A$5:$C$17,2,FALSE)</f>
        <v>Navicon® Intrinsic® brand fungicide</v>
      </c>
      <c r="N13" s="74" t="str">
        <f>VLOOKUP($L13,'Article Reference'!$A$5:$C$17,3,FALSE)</f>
        <v>4 x 37 fl oz</v>
      </c>
      <c r="O13" s="76">
        <f>VLOOKUP(L13,'Step 2 - Order Planner'!$C$26:$F$40,4,FALSE)</f>
        <v>0</v>
      </c>
      <c r="P13" s="76">
        <f>VLOOKUP(L13,'Step 2 - Order Planner'!$C$26:$H$40,6,FALSE)</f>
        <v>0</v>
      </c>
      <c r="Q13" s="293">
        <f>IF(O13+O14&gt;0,1,0)</f>
        <v>0</v>
      </c>
      <c r="R13" s="293">
        <f>IF(P13+P14&gt;0,1,0)</f>
        <v>0</v>
      </c>
      <c r="S13" s="293">
        <f>IF(OR(Q13=1,R13=1),1,0)</f>
        <v>0</v>
      </c>
    </row>
    <row r="14" spans="1:19" x14ac:dyDescent="0.25">
      <c r="A14" s="14">
        <v>30000</v>
      </c>
      <c r="B14" s="14">
        <f>A15-1</f>
        <v>39999</v>
      </c>
      <c r="C14" s="15">
        <v>0.2</v>
      </c>
      <c r="D14" s="15">
        <v>0.1</v>
      </c>
      <c r="E14" s="15" t="b">
        <f>IF(AND(('Step 2 - Order Planner'!$G$41)&gt;=3000,Q18&gt;=1,'Step 2 - Order Planner'!J41&gt;=$A14,'Step 2 - Order Planner'!J41&lt;=$B14),C14)</f>
        <v>0</v>
      </c>
      <c r="F14" s="15" t="b">
        <f>IF(AND(('Step 2 - Order Planner'!$J$41)&gt;=3000,$S$18&gt;=1,'Step 2 - Order Planner'!J41&gt;=$A14,'Step 2 - Order Planner'!J41&lt;=$B14),D14)</f>
        <v>0</v>
      </c>
      <c r="G14" s="15" t="b">
        <f>IF(E14&lt;&gt;FALSE,E14,F14)</f>
        <v>0</v>
      </c>
      <c r="H14" s="119">
        <f>A14-H10</f>
        <v>30000</v>
      </c>
      <c r="I14" s="120">
        <v>0.2</v>
      </c>
      <c r="L14" s="74">
        <v>59018095</v>
      </c>
      <c r="M14" s="75" t="str">
        <f>VLOOKUP($L14,'Article Reference'!$A$5:$C$17,2,FALSE)</f>
        <v>Navicon® Intrinsic® brand fungicide</v>
      </c>
      <c r="N14" s="74" t="str">
        <f>VLOOKUP($L14,'Article Reference'!$A$5:$C$17,3,FALSE)</f>
        <v>2 x 2.5 gal</v>
      </c>
      <c r="O14" s="76">
        <f>VLOOKUP(L14,'Step 2 - Order Planner'!$C$26:$F$40,4,FALSE)</f>
        <v>0</v>
      </c>
      <c r="P14" s="76">
        <f>VLOOKUP(L14,'Step 2 - Order Planner'!$C$26:$H$40,6,FALSE)</f>
        <v>0</v>
      </c>
      <c r="Q14" s="294"/>
      <c r="R14" s="294"/>
      <c r="S14" s="294"/>
    </row>
    <row r="15" spans="1:19" x14ac:dyDescent="0.25">
      <c r="A15" s="14">
        <v>40000</v>
      </c>
      <c r="B15" s="14">
        <v>10000000</v>
      </c>
      <c r="C15" s="15">
        <v>0.24</v>
      </c>
      <c r="D15" s="15">
        <v>0.12</v>
      </c>
      <c r="E15" s="15" t="b">
        <f>IF(AND(('Step 2 - Order Planner'!$G$41)&gt;=3000,Q18&gt;=1,'Step 2 - Order Planner'!J41&gt;=$A15,'Step 2 - Order Planner'!J41&lt;=$B15),C15)</f>
        <v>0</v>
      </c>
      <c r="F15" s="15" t="b">
        <f>IF(AND(('Step 2 - Order Planner'!$J$41)&gt;=3000,$S$18&gt;=1,'Step 2 - Order Planner'!J41&gt;=$A15,'Step 2 - Order Planner'!J41&lt;=$B15),D15)</f>
        <v>0</v>
      </c>
      <c r="G15" s="15" t="b">
        <f>IF(E15&lt;&gt;FALSE,E15,F15)</f>
        <v>0</v>
      </c>
      <c r="H15" s="119">
        <f>A15-H10</f>
        <v>40000</v>
      </c>
      <c r="I15" s="120">
        <v>0.24</v>
      </c>
      <c r="L15" s="77">
        <v>59013833</v>
      </c>
      <c r="M15" s="78" t="str">
        <f>VLOOKUP($L15,'Article Reference'!$A$5:$C$17,2,FALSE)</f>
        <v>Xzemplar® fungicide</v>
      </c>
      <c r="N15" s="77" t="str">
        <f>VLOOKUP($L15,'Article Reference'!$A$5:$C$17,3,FALSE)</f>
        <v>2 x 114 oz</v>
      </c>
      <c r="O15" s="79">
        <f>VLOOKUP(L15,'Step 2 - Order Planner'!$C$26:$F$40,4,FALSE)</f>
        <v>0</v>
      </c>
      <c r="P15" s="79">
        <f>VLOOKUP(L15,'Step 2 - Order Planner'!$C$26:$H$40,6,FALSE)</f>
        <v>0</v>
      </c>
      <c r="Q15" s="280">
        <f>IF(O15+O17&gt;0,1,0)</f>
        <v>0</v>
      </c>
      <c r="R15" s="280">
        <f>IF(P15+P17&gt;0,1,0)</f>
        <v>0</v>
      </c>
      <c r="S15" s="280">
        <f>IF(OR(Q15=1,R15=1),1,0)</f>
        <v>0</v>
      </c>
    </row>
    <row r="16" spans="1:19" x14ac:dyDescent="0.25">
      <c r="C16" s="180" t="s">
        <v>40</v>
      </c>
      <c r="D16" s="181"/>
      <c r="E16" s="157"/>
      <c r="F16" s="157"/>
      <c r="G16" s="157">
        <f>MAX(G11:G15)</f>
        <v>0</v>
      </c>
      <c r="H16" s="119" cm="1">
        <f t="array" ref="H16">MIN(IF(H11:H15&gt;0,H11:H15))</f>
        <v>3000</v>
      </c>
      <c r="L16" s="77"/>
      <c r="M16" s="78"/>
      <c r="N16" s="77"/>
      <c r="O16" s="79"/>
      <c r="P16" s="79"/>
      <c r="Q16" s="281"/>
      <c r="R16" s="281"/>
      <c r="S16" s="281"/>
    </row>
    <row r="17" spans="1:19" x14ac:dyDescent="0.25">
      <c r="L17" s="77">
        <v>59014120</v>
      </c>
      <c r="M17" s="78" t="str">
        <f>VLOOKUP($L17,'Article Reference'!$A$5:$C$17,2,FALSE)</f>
        <v>Xzemplar® fungicide</v>
      </c>
      <c r="N17" s="77" t="str">
        <f>VLOOKUP($L17,'Article Reference'!$A$5:$C$17,3,FALSE)</f>
        <v>4 x 11.4 oz</v>
      </c>
      <c r="O17" s="79">
        <f>VLOOKUP(L17,'Step 2 - Order Planner'!$C$26:$F$40,4,FALSE)</f>
        <v>0</v>
      </c>
      <c r="P17" s="79">
        <f>VLOOKUP(L17,'Step 2 - Order Planner'!$C$26:$H$40,6,FALSE)</f>
        <v>0</v>
      </c>
      <c r="Q17" s="282"/>
      <c r="R17" s="282"/>
      <c r="S17" s="282"/>
    </row>
    <row r="18" spans="1:19" x14ac:dyDescent="0.25">
      <c r="A18" s="13" t="s">
        <v>141</v>
      </c>
      <c r="Q18" s="91">
        <f>SUM(Q2:Q17)</f>
        <v>0</v>
      </c>
      <c r="R18" s="91">
        <f>SUM(R2:R17)</f>
        <v>0</v>
      </c>
      <c r="S18" s="91">
        <f>SUM(S2:S17)</f>
        <v>0</v>
      </c>
    </row>
    <row r="19" spans="1:19" x14ac:dyDescent="0.25">
      <c r="A19" s="17" t="s">
        <v>35</v>
      </c>
      <c r="B19" s="17" t="s">
        <v>36</v>
      </c>
      <c r="C19" s="17" t="s">
        <v>37</v>
      </c>
      <c r="D19" s="17" t="s">
        <v>37</v>
      </c>
      <c r="E19" s="17"/>
      <c r="F19" s="17"/>
      <c r="G19" s="17" t="s">
        <v>51</v>
      </c>
      <c r="H19" s="119">
        <f>'Step 2 - Order Planner'!H19:I19</f>
        <v>0</v>
      </c>
    </row>
    <row r="20" spans="1:19" x14ac:dyDescent="0.25">
      <c r="A20" s="14">
        <v>3000</v>
      </c>
      <c r="B20" s="14">
        <f>A21-1</f>
        <v>7999</v>
      </c>
      <c r="C20" s="15">
        <v>0.04</v>
      </c>
      <c r="D20" s="15">
        <v>0.04</v>
      </c>
      <c r="E20" s="15" t="b">
        <f>IF(AND(('Step 2 - Order Planner'!$G$41+'Step 2 - Order Planner'!$I$41+'Step 2 - Order Planner'!$G$78)&gt;=3000,'Step 2 - Order Planner'!$G$41+'Step 2 - Order Planner'!$I$41+'Step 2 - Order Planner'!$G$78&gt;=$A20,'Step 2 - Order Planner'!$G$41+'Step 2 - Order Planner'!$I$41+'Step 2 - Order Planner'!$G$78&lt;=$B20,S18&lt;=3),C20)</f>
        <v>0</v>
      </c>
      <c r="F20" s="15">
        <f>IF(AND(SUM('Step 2 - Order Planner'!G26:G39)&gt;=3000,SUM('Step 2 - Order Planner'!G26:G39)&lt;8000),0.04,0)</f>
        <v>0</v>
      </c>
      <c r="G20" s="15">
        <f>SUM(E20:F20)</f>
        <v>0</v>
      </c>
      <c r="H20" s="119">
        <f>A20-$H$19</f>
        <v>3000</v>
      </c>
      <c r="I20" s="120">
        <v>0.04</v>
      </c>
    </row>
    <row r="21" spans="1:19" x14ac:dyDescent="0.25">
      <c r="A21" s="14">
        <v>8000</v>
      </c>
      <c r="B21" s="14">
        <f>A22-1</f>
        <v>19999</v>
      </c>
      <c r="C21" s="15">
        <v>0.06</v>
      </c>
      <c r="D21" s="15">
        <v>0.06</v>
      </c>
      <c r="E21" s="15" t="b">
        <f>IF(AND(('Step 2 - Order Planner'!$G$41+'Step 2 - Order Planner'!$I$41+'Step 2 - Order Planner'!$G$78)&gt;=3000,'Step 2 - Order Planner'!$G$41+'Step 2 - Order Planner'!$I$41+'Step 2 - Order Planner'!$G$78&gt;=$A21,'Step 2 - Order Planner'!$G$41+'Step 2 - Order Planner'!$I$41+'Step 2 - Order Planner'!$G$78&lt;=$B21,S18&lt;=3),C21)</f>
        <v>0</v>
      </c>
      <c r="F21" s="15"/>
      <c r="G21" s="15">
        <f>SUM(E21:F21)</f>
        <v>0</v>
      </c>
      <c r="H21" s="119">
        <f>A21-$H$19</f>
        <v>8000</v>
      </c>
      <c r="I21" s="120">
        <v>0.06</v>
      </c>
      <c r="L21" s="4" t="s">
        <v>1</v>
      </c>
      <c r="M21" s="4" t="s">
        <v>10</v>
      </c>
      <c r="N21" s="4" t="s">
        <v>0</v>
      </c>
      <c r="O21" s="4" t="s">
        <v>258</v>
      </c>
      <c r="P21" s="4" t="s">
        <v>259</v>
      </c>
    </row>
    <row r="22" spans="1:19" x14ac:dyDescent="0.25">
      <c r="A22" s="14">
        <v>20000</v>
      </c>
      <c r="B22" s="14">
        <v>1000000</v>
      </c>
      <c r="C22" s="15">
        <v>0.12</v>
      </c>
      <c r="D22" s="15">
        <v>0.12</v>
      </c>
      <c r="E22" s="15" t="b">
        <f>IF(AND(('Step 2 - Order Planner'!$G$41+'Step 2 - Order Planner'!$I$41+'Step 2 - Order Planner'!$G$78)&gt;=3000,'Step 2 - Order Planner'!$G$41+'Step 2 - Order Planner'!$I$41+'Step 2 - Order Planner'!$G$78&gt;=$A22,'Step 2 - Order Planner'!$G$41+'Step 2 - Order Planner'!$I$41+'Step 2 - Order Planner'!$G$78&lt;=$B22,S18&lt;=3),C22)</f>
        <v>0</v>
      </c>
      <c r="F22" s="15"/>
      <c r="G22" s="15">
        <f>SUM(E22:F22)</f>
        <v>0</v>
      </c>
      <c r="H22" s="119">
        <f>A22-$H$19</f>
        <v>20000</v>
      </c>
      <c r="I22" s="120">
        <v>0.12</v>
      </c>
      <c r="L22" s="1">
        <v>59026671</v>
      </c>
      <c r="M22" s="2" t="s">
        <v>256</v>
      </c>
      <c r="N22" s="1" t="s">
        <v>24</v>
      </c>
      <c r="O22" s="170">
        <f>'Step 2 - Order Planner'!F26+'Step 2 - Order Planner'!H26</f>
        <v>0</v>
      </c>
      <c r="P22" s="170">
        <f>O22*2</f>
        <v>0</v>
      </c>
    </row>
    <row r="23" spans="1:19" x14ac:dyDescent="0.25">
      <c r="C23" s="285" t="s">
        <v>40</v>
      </c>
      <c r="D23" s="286"/>
      <c r="E23" s="18">
        <f>SUM(E20:E22)</f>
        <v>0</v>
      </c>
      <c r="F23" s="18">
        <f>SUM(F20:F22)</f>
        <v>0</v>
      </c>
      <c r="G23" s="18">
        <f>SUM(E23:F23)</f>
        <v>0</v>
      </c>
      <c r="H23" s="119">
        <f t="array" ref="H23">MIN(IF(H20:H22&gt;0,H20:H22))</f>
        <v>3000</v>
      </c>
      <c r="L23" s="1">
        <v>59014247</v>
      </c>
      <c r="M23" s="2" t="s">
        <v>144</v>
      </c>
      <c r="N23" s="1" t="s">
        <v>24</v>
      </c>
      <c r="O23" s="170">
        <f>'Step 2 - Order Planner'!F65</f>
        <v>0</v>
      </c>
      <c r="P23" s="170">
        <f>O23*2</f>
        <v>0</v>
      </c>
    </row>
    <row r="24" spans="1:19" x14ac:dyDescent="0.25">
      <c r="D24" s="13"/>
    </row>
    <row r="25" spans="1:19" x14ac:dyDescent="0.25">
      <c r="H25" s="119"/>
    </row>
  </sheetData>
  <mergeCells count="19">
    <mergeCell ref="R13:R14"/>
    <mergeCell ref="Q13:Q14"/>
    <mergeCell ref="R15:R17"/>
    <mergeCell ref="Q15:Q17"/>
    <mergeCell ref="Q2:Q3"/>
    <mergeCell ref="R2:R3"/>
    <mergeCell ref="S2:S3"/>
    <mergeCell ref="C23:D23"/>
    <mergeCell ref="S6:S7"/>
    <mergeCell ref="R6:R7"/>
    <mergeCell ref="Q6:Q7"/>
    <mergeCell ref="S8:S9"/>
    <mergeCell ref="R8:R9"/>
    <mergeCell ref="Q8:Q9"/>
    <mergeCell ref="S15:S17"/>
    <mergeCell ref="S11:S12"/>
    <mergeCell ref="R11:R12"/>
    <mergeCell ref="Q11:Q12"/>
    <mergeCell ref="S13:S14"/>
  </mergeCells>
  <pageMargins left="0.7" right="0.7" top="0.75" bottom="0.75" header="0.3" footer="0.3"/>
  <pageSetup orientation="portrait" r:id="rId1"/>
  <headerFooter>
    <oddFooter>&amp;C_x000D_&amp;1#&amp;"Arial"&amp;10&amp;K000000 Internal</oddFooter>
  </headerFooter>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A1:L55"/>
  <sheetViews>
    <sheetView workbookViewId="0">
      <selection activeCell="A11" sqref="A11"/>
    </sheetView>
  </sheetViews>
  <sheetFormatPr defaultColWidth="8.85546875" defaultRowHeight="12" x14ac:dyDescent="0.2"/>
  <cols>
    <col min="1" max="1" width="12.85546875" style="7" bestFit="1" customWidth="1"/>
    <col min="2" max="2" width="41.140625" style="7" customWidth="1"/>
    <col min="3" max="3" width="11" style="7" bestFit="1" customWidth="1"/>
    <col min="4" max="4" width="9.85546875" style="7" bestFit="1" customWidth="1"/>
    <col min="5" max="5" width="11.85546875" style="7" bestFit="1" customWidth="1"/>
    <col min="6" max="7" width="8.85546875" style="7"/>
    <col min="8" max="8" width="11.5703125" style="7" bestFit="1" customWidth="1"/>
    <col min="9" max="9" width="2.140625" style="7" customWidth="1"/>
    <col min="10" max="10" width="9.85546875" style="7" bestFit="1" customWidth="1"/>
    <col min="11" max="11" width="24.5703125" style="7" bestFit="1" customWidth="1"/>
    <col min="12" max="12" width="13.85546875" style="7" bestFit="1" customWidth="1"/>
    <col min="13" max="16384" width="8.85546875" style="7"/>
  </cols>
  <sheetData>
    <row r="1" spans="1:8" x14ac:dyDescent="0.2">
      <c r="A1" s="295" t="s">
        <v>278</v>
      </c>
      <c r="B1" s="295"/>
      <c r="C1" s="295"/>
      <c r="D1" s="295"/>
      <c r="E1" s="295"/>
    </row>
    <row r="2" spans="1:8" x14ac:dyDescent="0.2">
      <c r="A2" s="4" t="s">
        <v>1</v>
      </c>
      <c r="B2" s="4" t="s">
        <v>10</v>
      </c>
      <c r="C2" s="4" t="s">
        <v>0</v>
      </c>
      <c r="D2" s="4" t="s">
        <v>56</v>
      </c>
      <c r="E2" s="4" t="s">
        <v>247</v>
      </c>
      <c r="F2" s="128" t="s">
        <v>180</v>
      </c>
      <c r="G2" s="128" t="s">
        <v>181</v>
      </c>
      <c r="H2" s="128" t="s">
        <v>182</v>
      </c>
    </row>
    <row r="3" spans="1:8" x14ac:dyDescent="0.2">
      <c r="A3" s="1">
        <v>59026671</v>
      </c>
      <c r="B3" s="2" t="s">
        <v>282</v>
      </c>
      <c r="C3" s="1" t="s">
        <v>24</v>
      </c>
      <c r="D3" s="62">
        <v>5215</v>
      </c>
      <c r="E3" s="62">
        <v>5359.7</v>
      </c>
      <c r="F3" s="7">
        <v>5</v>
      </c>
      <c r="G3" s="116">
        <f>H3/F3</f>
        <v>1043</v>
      </c>
      <c r="H3" s="117">
        <f>D3</f>
        <v>5215</v>
      </c>
    </row>
    <row r="4" spans="1:8" x14ac:dyDescent="0.2">
      <c r="A4" s="1">
        <v>59032979</v>
      </c>
      <c r="B4" s="2" t="s">
        <v>276</v>
      </c>
      <c r="C4" s="1" t="s">
        <v>277</v>
      </c>
      <c r="D4" s="62">
        <v>1479</v>
      </c>
      <c r="E4" s="62">
        <v>1520.76</v>
      </c>
      <c r="F4" s="7">
        <f>4*43.5</f>
        <v>174</v>
      </c>
      <c r="G4" s="116">
        <f>H4/F4</f>
        <v>8.5</v>
      </c>
      <c r="H4" s="117">
        <f>D4</f>
        <v>1479</v>
      </c>
    </row>
    <row r="5" spans="1:8" x14ac:dyDescent="0.2">
      <c r="A5" s="1">
        <v>59021463</v>
      </c>
      <c r="B5" s="2" t="s">
        <v>150</v>
      </c>
      <c r="C5" s="1" t="s">
        <v>2</v>
      </c>
      <c r="D5" s="62">
        <v>1239.7</v>
      </c>
      <c r="E5" s="62">
        <v>1274.0999999999999</v>
      </c>
      <c r="F5" s="7">
        <f>10*0.49</f>
        <v>4.9000000000000004</v>
      </c>
      <c r="G5" s="116">
        <f>H5/F5</f>
        <v>253</v>
      </c>
      <c r="H5" s="117">
        <f>D5</f>
        <v>1239.7</v>
      </c>
    </row>
    <row r="6" spans="1:8" x14ac:dyDescent="0.2">
      <c r="A6" s="1">
        <v>59014003</v>
      </c>
      <c r="B6" s="2" t="s">
        <v>190</v>
      </c>
      <c r="C6" s="1" t="s">
        <v>24</v>
      </c>
      <c r="D6" s="118">
        <v>680</v>
      </c>
      <c r="E6" s="118">
        <v>698.86</v>
      </c>
      <c r="F6" s="7">
        <f>2*2.5</f>
        <v>5</v>
      </c>
      <c r="G6" s="116">
        <f t="shared" ref="G6:G17" si="0">H6/F6</f>
        <v>136</v>
      </c>
      <c r="H6" s="117">
        <f t="shared" ref="H6:H17" si="1">D6</f>
        <v>680</v>
      </c>
    </row>
    <row r="7" spans="1:8" x14ac:dyDescent="0.2">
      <c r="A7" s="1">
        <v>59012350</v>
      </c>
      <c r="B7" s="2" t="s">
        <v>151</v>
      </c>
      <c r="C7" s="1" t="s">
        <v>4</v>
      </c>
      <c r="D7" s="62">
        <v>3528</v>
      </c>
      <c r="E7" s="62">
        <v>3625.92</v>
      </c>
      <c r="F7" s="7">
        <f>6*3</f>
        <v>18</v>
      </c>
      <c r="G7" s="116">
        <f t="shared" si="0"/>
        <v>196</v>
      </c>
      <c r="H7" s="117">
        <f t="shared" si="1"/>
        <v>3528</v>
      </c>
    </row>
    <row r="8" spans="1:8" x14ac:dyDescent="0.2">
      <c r="A8" s="1">
        <v>59012885</v>
      </c>
      <c r="B8" s="2" t="s">
        <v>151</v>
      </c>
      <c r="C8" s="1" t="s">
        <v>5</v>
      </c>
      <c r="D8" s="62">
        <v>5112</v>
      </c>
      <c r="E8" s="62">
        <v>5253.84</v>
      </c>
      <c r="F8" s="7">
        <v>36</v>
      </c>
      <c r="G8" s="116">
        <f t="shared" si="0"/>
        <v>142</v>
      </c>
      <c r="H8" s="117">
        <f t="shared" si="1"/>
        <v>5112</v>
      </c>
    </row>
    <row r="9" spans="1:8" x14ac:dyDescent="0.2">
      <c r="A9" s="1">
        <v>59028038</v>
      </c>
      <c r="B9" s="2" t="s">
        <v>152</v>
      </c>
      <c r="C9" s="1" t="s">
        <v>6</v>
      </c>
      <c r="D9" s="118">
        <v>2303.36</v>
      </c>
      <c r="E9" s="118">
        <v>2366.8000000000002</v>
      </c>
      <c r="F9" s="7">
        <f>4*30.5</f>
        <v>122</v>
      </c>
      <c r="G9" s="116">
        <f t="shared" si="0"/>
        <v>18.880000000000003</v>
      </c>
      <c r="H9" s="117">
        <f t="shared" si="1"/>
        <v>2303.36</v>
      </c>
    </row>
    <row r="10" spans="1:8" x14ac:dyDescent="0.2">
      <c r="A10" s="1">
        <v>59028040</v>
      </c>
      <c r="B10" s="2" t="s">
        <v>152</v>
      </c>
      <c r="C10" s="1" t="s">
        <v>24</v>
      </c>
      <c r="D10" s="62">
        <v>7522.5</v>
      </c>
      <c r="E10" s="62">
        <v>7731.26</v>
      </c>
      <c r="F10" s="7">
        <v>5</v>
      </c>
      <c r="G10" s="116">
        <f t="shared" si="0"/>
        <v>1504.5</v>
      </c>
      <c r="H10" s="117">
        <f t="shared" si="1"/>
        <v>7522.5</v>
      </c>
    </row>
    <row r="11" spans="1:8" x14ac:dyDescent="0.2">
      <c r="A11" s="1">
        <v>59027998</v>
      </c>
      <c r="B11" s="2" t="s">
        <v>153</v>
      </c>
      <c r="C11" s="1" t="s">
        <v>26</v>
      </c>
      <c r="D11" s="62">
        <v>2520</v>
      </c>
      <c r="E11" s="62">
        <v>2589.7199999999998</v>
      </c>
      <c r="F11" s="7">
        <f>4*21</f>
        <v>84</v>
      </c>
      <c r="G11" s="116">
        <f t="shared" si="0"/>
        <v>30</v>
      </c>
      <c r="H11" s="117">
        <f t="shared" si="1"/>
        <v>2520</v>
      </c>
    </row>
    <row r="12" spans="1:8" x14ac:dyDescent="0.2">
      <c r="A12" s="1">
        <v>59018087</v>
      </c>
      <c r="B12" s="2" t="s">
        <v>154</v>
      </c>
      <c r="C12" s="1" t="s">
        <v>129</v>
      </c>
      <c r="D12" s="62">
        <v>956.8</v>
      </c>
      <c r="E12" s="62">
        <v>983.84</v>
      </c>
      <c r="F12" s="7">
        <f>4*26</f>
        <v>104</v>
      </c>
      <c r="G12" s="116">
        <f t="shared" si="0"/>
        <v>9.1999999999999993</v>
      </c>
      <c r="H12" s="117">
        <f t="shared" si="1"/>
        <v>956.8</v>
      </c>
    </row>
    <row r="13" spans="1:8" x14ac:dyDescent="0.2">
      <c r="A13" s="1">
        <v>59018071</v>
      </c>
      <c r="B13" s="2" t="s">
        <v>154</v>
      </c>
      <c r="C13" s="1" t="s">
        <v>24</v>
      </c>
      <c r="D13" s="62">
        <v>4715</v>
      </c>
      <c r="E13" s="62">
        <v>4845.8599999999997</v>
      </c>
      <c r="F13" s="7">
        <v>5</v>
      </c>
      <c r="G13" s="116">
        <f t="shared" si="0"/>
        <v>943</v>
      </c>
      <c r="H13" s="117">
        <f t="shared" si="1"/>
        <v>4715</v>
      </c>
    </row>
    <row r="14" spans="1:8" x14ac:dyDescent="0.2">
      <c r="A14" s="1">
        <v>59018094</v>
      </c>
      <c r="B14" s="3" t="s">
        <v>155</v>
      </c>
      <c r="C14" s="1" t="s">
        <v>130</v>
      </c>
      <c r="D14" s="62">
        <v>2308.8000000000002</v>
      </c>
      <c r="E14" s="62">
        <v>2372.44</v>
      </c>
      <c r="F14" s="7">
        <f>4*37</f>
        <v>148</v>
      </c>
      <c r="G14" s="116">
        <f t="shared" si="0"/>
        <v>15.600000000000001</v>
      </c>
      <c r="H14" s="117">
        <f t="shared" si="1"/>
        <v>2308.8000000000002</v>
      </c>
    </row>
    <row r="15" spans="1:8" x14ac:dyDescent="0.2">
      <c r="A15" s="1">
        <v>59018095</v>
      </c>
      <c r="B15" s="3" t="s">
        <v>155</v>
      </c>
      <c r="C15" s="8" t="s">
        <v>24</v>
      </c>
      <c r="D15" s="62">
        <v>7320</v>
      </c>
      <c r="E15" s="62">
        <v>7523.16</v>
      </c>
      <c r="F15" s="7">
        <v>5</v>
      </c>
      <c r="G15" s="116">
        <f t="shared" si="0"/>
        <v>1464</v>
      </c>
      <c r="H15" s="117">
        <f t="shared" si="1"/>
        <v>7320</v>
      </c>
    </row>
    <row r="16" spans="1:8" x14ac:dyDescent="0.2">
      <c r="A16" s="1">
        <v>59013833</v>
      </c>
      <c r="B16" s="2" t="s">
        <v>156</v>
      </c>
      <c r="C16" s="1" t="s">
        <v>20</v>
      </c>
      <c r="D16" s="62">
        <v>3602.4</v>
      </c>
      <c r="E16" s="62">
        <v>3702.72</v>
      </c>
      <c r="F16" s="7">
        <f>2*114</f>
        <v>228</v>
      </c>
      <c r="G16" s="116">
        <f t="shared" si="0"/>
        <v>15.8</v>
      </c>
      <c r="H16" s="117">
        <f t="shared" si="1"/>
        <v>3602.4</v>
      </c>
    </row>
    <row r="17" spans="1:12" x14ac:dyDescent="0.2">
      <c r="A17" s="1">
        <v>59014120</v>
      </c>
      <c r="B17" s="2" t="s">
        <v>156</v>
      </c>
      <c r="C17" s="1" t="s">
        <v>9</v>
      </c>
      <c r="D17" s="62">
        <v>861.84</v>
      </c>
      <c r="E17" s="62">
        <v>885.56</v>
      </c>
      <c r="F17" s="7">
        <f>4*11.4</f>
        <v>45.6</v>
      </c>
      <c r="G17" s="116">
        <f t="shared" si="0"/>
        <v>18.899999999999999</v>
      </c>
      <c r="H17" s="117">
        <f t="shared" si="1"/>
        <v>861.84</v>
      </c>
      <c r="J17" s="117"/>
      <c r="K17" s="117"/>
    </row>
    <row r="18" spans="1:12" x14ac:dyDescent="0.2">
      <c r="A18" s="161"/>
      <c r="B18" s="160"/>
      <c r="C18" s="159"/>
      <c r="D18" s="162">
        <f>SUM(D3:D17)</f>
        <v>49364.4</v>
      </c>
      <c r="E18" s="162">
        <f>SUM(E3:E17)</f>
        <v>50734.539999999994</v>
      </c>
      <c r="G18" s="116"/>
      <c r="H18" s="117"/>
      <c r="J18" s="117"/>
      <c r="K18" s="117"/>
    </row>
    <row r="19" spans="1:12" x14ac:dyDescent="0.2">
      <c r="A19" s="295" t="s">
        <v>279</v>
      </c>
      <c r="B19" s="295"/>
      <c r="C19" s="295"/>
      <c r="D19" s="295"/>
      <c r="E19" s="295"/>
      <c r="G19" s="116"/>
    </row>
    <row r="20" spans="1:12" x14ac:dyDescent="0.2">
      <c r="A20" s="4" t="s">
        <v>1</v>
      </c>
      <c r="B20" s="4" t="s">
        <v>10</v>
      </c>
      <c r="C20" s="4" t="s">
        <v>0</v>
      </c>
      <c r="D20" s="4" t="s">
        <v>56</v>
      </c>
      <c r="E20" s="4" t="s">
        <v>247</v>
      </c>
      <c r="G20" s="116"/>
    </row>
    <row r="21" spans="1:12" x14ac:dyDescent="0.2">
      <c r="A21" s="9">
        <v>59014151</v>
      </c>
      <c r="B21" s="5" t="s">
        <v>165</v>
      </c>
      <c r="C21" s="6" t="s">
        <v>131</v>
      </c>
      <c r="D21" s="62">
        <v>280</v>
      </c>
      <c r="E21" s="62">
        <v>280</v>
      </c>
      <c r="F21" s="7">
        <v>4</v>
      </c>
      <c r="G21" s="116">
        <f t="shared" ref="G21:G53" si="2">H21/F21</f>
        <v>70</v>
      </c>
      <c r="H21" s="117">
        <f t="shared" ref="H21:H53" si="3">D21</f>
        <v>280</v>
      </c>
    </row>
    <row r="22" spans="1:12" x14ac:dyDescent="0.2">
      <c r="A22" s="9">
        <v>59024020</v>
      </c>
      <c r="B22" s="5" t="s">
        <v>206</v>
      </c>
      <c r="C22" s="6" t="s">
        <v>220</v>
      </c>
      <c r="D22" s="118">
        <v>2636.3</v>
      </c>
      <c r="E22" s="149" t="s">
        <v>248</v>
      </c>
      <c r="F22" s="7">
        <f>10*38</f>
        <v>380</v>
      </c>
      <c r="G22" s="116">
        <f t="shared" si="2"/>
        <v>6.9376315789473688</v>
      </c>
      <c r="H22" s="117">
        <f t="shared" si="3"/>
        <v>2636.3</v>
      </c>
    </row>
    <row r="23" spans="1:12" x14ac:dyDescent="0.2">
      <c r="A23" s="9">
        <v>59021451</v>
      </c>
      <c r="B23" s="5" t="s">
        <v>89</v>
      </c>
      <c r="C23" s="6" t="s">
        <v>90</v>
      </c>
      <c r="D23" s="62">
        <v>625</v>
      </c>
      <c r="E23" s="62">
        <v>625</v>
      </c>
      <c r="F23" s="7">
        <v>25</v>
      </c>
      <c r="G23" s="116">
        <f t="shared" si="2"/>
        <v>25</v>
      </c>
      <c r="H23" s="117">
        <f t="shared" si="3"/>
        <v>625</v>
      </c>
    </row>
    <row r="24" spans="1:12" x14ac:dyDescent="0.2">
      <c r="A24" s="9">
        <v>59011636</v>
      </c>
      <c r="B24" s="10" t="s">
        <v>163</v>
      </c>
      <c r="C24" s="6" t="s">
        <v>132</v>
      </c>
      <c r="D24" s="118">
        <v>127.5</v>
      </c>
      <c r="E24" s="149" t="s">
        <v>248</v>
      </c>
      <c r="F24" s="7">
        <v>2</v>
      </c>
      <c r="G24" s="116">
        <f t="shared" si="2"/>
        <v>63.75</v>
      </c>
      <c r="H24" s="117">
        <f t="shared" si="3"/>
        <v>127.5</v>
      </c>
    </row>
    <row r="25" spans="1:12" x14ac:dyDescent="0.2">
      <c r="A25" s="9">
        <v>59013424</v>
      </c>
      <c r="B25" s="10" t="s">
        <v>183</v>
      </c>
      <c r="C25" s="6" t="s">
        <v>131</v>
      </c>
      <c r="D25" s="62">
        <v>480</v>
      </c>
      <c r="E25" s="62">
        <v>480</v>
      </c>
      <c r="F25" s="7">
        <v>4</v>
      </c>
      <c r="G25" s="116">
        <f t="shared" si="2"/>
        <v>120</v>
      </c>
      <c r="H25" s="117">
        <f t="shared" si="3"/>
        <v>480</v>
      </c>
    </row>
    <row r="26" spans="1:12" x14ac:dyDescent="0.2">
      <c r="A26" s="9">
        <v>59011404</v>
      </c>
      <c r="B26" s="10" t="s">
        <v>164</v>
      </c>
      <c r="C26" s="6" t="s">
        <v>133</v>
      </c>
      <c r="D26" s="62">
        <v>228.13</v>
      </c>
      <c r="E26" s="62">
        <v>228.13</v>
      </c>
      <c r="F26" s="7">
        <f>4*0.5</f>
        <v>2</v>
      </c>
      <c r="G26" s="116">
        <f t="shared" si="2"/>
        <v>114.065</v>
      </c>
      <c r="H26" s="117">
        <f t="shared" si="3"/>
        <v>228.13</v>
      </c>
    </row>
    <row r="27" spans="1:12" x14ac:dyDescent="0.2">
      <c r="A27" s="128">
        <v>59018043</v>
      </c>
      <c r="B27" s="10" t="s">
        <v>164</v>
      </c>
      <c r="C27" s="6" t="s">
        <v>24</v>
      </c>
      <c r="D27" s="62">
        <v>529.69000000000005</v>
      </c>
      <c r="E27" s="62">
        <v>529.69000000000005</v>
      </c>
      <c r="G27" s="116"/>
      <c r="H27" s="117">
        <f t="shared" si="3"/>
        <v>529.69000000000005</v>
      </c>
    </row>
    <row r="28" spans="1:12" x14ac:dyDescent="0.2">
      <c r="A28" s="9">
        <v>59024131</v>
      </c>
      <c r="B28" s="10" t="s">
        <v>193</v>
      </c>
      <c r="C28" s="6" t="s">
        <v>24</v>
      </c>
      <c r="D28" s="118"/>
      <c r="E28" s="62"/>
      <c r="F28" s="7">
        <v>5</v>
      </c>
      <c r="G28" s="116">
        <f t="shared" ref="G28" si="4">H28/F28</f>
        <v>0</v>
      </c>
      <c r="H28" s="117">
        <f t="shared" si="3"/>
        <v>0</v>
      </c>
      <c r="J28" s="154" t="s">
        <v>207</v>
      </c>
      <c r="K28" s="154" t="s">
        <v>263</v>
      </c>
    </row>
    <row r="29" spans="1:12" x14ac:dyDescent="0.2">
      <c r="A29" s="9">
        <v>59011296</v>
      </c>
      <c r="B29" s="10" t="s">
        <v>148</v>
      </c>
      <c r="C29" s="90" t="s">
        <v>3</v>
      </c>
      <c r="D29" s="118">
        <v>116</v>
      </c>
      <c r="E29" s="62">
        <v>119</v>
      </c>
      <c r="F29" s="7">
        <v>50</v>
      </c>
      <c r="G29" s="116">
        <f t="shared" si="2"/>
        <v>2.3199999999999998</v>
      </c>
      <c r="H29" s="117">
        <f t="shared" si="3"/>
        <v>116</v>
      </c>
      <c r="J29" s="9">
        <v>59013674</v>
      </c>
      <c r="K29" s="10" t="s">
        <v>166</v>
      </c>
      <c r="L29" s="6" t="s">
        <v>3</v>
      </c>
    </row>
    <row r="30" spans="1:12" x14ac:dyDescent="0.2">
      <c r="A30" s="9">
        <v>59013430</v>
      </c>
      <c r="B30" s="10" t="s">
        <v>157</v>
      </c>
      <c r="C30" s="6" t="s">
        <v>24</v>
      </c>
      <c r="D30" s="62">
        <v>418.75</v>
      </c>
      <c r="E30" s="62">
        <v>418.75</v>
      </c>
      <c r="F30" s="7">
        <v>5</v>
      </c>
      <c r="G30" s="116">
        <f t="shared" si="2"/>
        <v>83.75</v>
      </c>
      <c r="H30" s="117">
        <f t="shared" si="3"/>
        <v>418.75</v>
      </c>
    </row>
    <row r="31" spans="1:12" x14ac:dyDescent="0.2">
      <c r="A31" s="9">
        <v>59013410</v>
      </c>
      <c r="B31" s="10" t="s">
        <v>143</v>
      </c>
      <c r="C31" s="6" t="s">
        <v>131</v>
      </c>
      <c r="D31" s="62">
        <v>875</v>
      </c>
      <c r="E31" s="62">
        <v>875</v>
      </c>
      <c r="F31" s="7">
        <v>4</v>
      </c>
      <c r="G31" s="116">
        <f t="shared" si="2"/>
        <v>218.75</v>
      </c>
      <c r="H31" s="117">
        <f t="shared" si="3"/>
        <v>875</v>
      </c>
    </row>
    <row r="32" spans="1:12" x14ac:dyDescent="0.2">
      <c r="A32" s="9">
        <v>59023772</v>
      </c>
      <c r="B32" s="10" t="s">
        <v>143</v>
      </c>
      <c r="C32" s="6" t="s">
        <v>95</v>
      </c>
      <c r="D32" s="62">
        <v>2652</v>
      </c>
      <c r="E32" s="62">
        <v>2652</v>
      </c>
      <c r="F32" s="7">
        <v>1</v>
      </c>
      <c r="G32" s="116">
        <f t="shared" si="2"/>
        <v>2652</v>
      </c>
      <c r="H32" s="117">
        <f t="shared" si="3"/>
        <v>2652</v>
      </c>
    </row>
    <row r="33" spans="1:11" x14ac:dyDescent="0.2">
      <c r="A33" s="9">
        <v>59013342</v>
      </c>
      <c r="B33" s="10" t="s">
        <v>158</v>
      </c>
      <c r="C33" s="6" t="s">
        <v>131</v>
      </c>
      <c r="D33" s="62">
        <v>790</v>
      </c>
      <c r="E33" s="62">
        <v>790</v>
      </c>
      <c r="F33" s="7">
        <v>4</v>
      </c>
      <c r="G33" s="116">
        <f t="shared" si="2"/>
        <v>197.5</v>
      </c>
      <c r="H33" s="117">
        <f t="shared" si="3"/>
        <v>790</v>
      </c>
    </row>
    <row r="34" spans="1:11" ht="14.25" x14ac:dyDescent="0.2">
      <c r="A34" s="150">
        <v>59020732</v>
      </c>
      <c r="B34" s="151" t="s">
        <v>208</v>
      </c>
      <c r="C34" s="152" t="s">
        <v>205</v>
      </c>
      <c r="D34" s="153"/>
      <c r="E34" s="158">
        <f>D34</f>
        <v>0</v>
      </c>
      <c r="F34" s="7">
        <f>4*122</f>
        <v>488</v>
      </c>
      <c r="G34" s="116">
        <f t="shared" si="2"/>
        <v>0</v>
      </c>
      <c r="H34" s="117">
        <f t="shared" si="3"/>
        <v>0</v>
      </c>
      <c r="J34" s="154" t="s">
        <v>207</v>
      </c>
      <c r="K34" s="154" t="s">
        <v>261</v>
      </c>
    </row>
    <row r="35" spans="1:11" x14ac:dyDescent="0.2">
      <c r="A35" s="9">
        <v>59014379</v>
      </c>
      <c r="B35" s="10" t="s">
        <v>160</v>
      </c>
      <c r="C35" s="6" t="s">
        <v>188</v>
      </c>
      <c r="D35" s="118">
        <v>684.8</v>
      </c>
      <c r="E35" s="149" t="s">
        <v>248</v>
      </c>
      <c r="F35" s="7">
        <f>4*16</f>
        <v>64</v>
      </c>
      <c r="G35" s="116">
        <f t="shared" si="2"/>
        <v>10.7</v>
      </c>
      <c r="H35" s="117">
        <f t="shared" si="3"/>
        <v>684.8</v>
      </c>
    </row>
    <row r="36" spans="1:11" x14ac:dyDescent="0.2">
      <c r="A36" s="9">
        <v>59012349</v>
      </c>
      <c r="B36" s="10" t="s">
        <v>142</v>
      </c>
      <c r="C36" s="6" t="s">
        <v>7</v>
      </c>
      <c r="D36" s="118">
        <v>460</v>
      </c>
      <c r="E36" s="62">
        <v>472.76</v>
      </c>
      <c r="F36" s="7">
        <v>4</v>
      </c>
      <c r="G36" s="116">
        <f t="shared" si="2"/>
        <v>115</v>
      </c>
      <c r="H36" s="117">
        <f t="shared" si="3"/>
        <v>460</v>
      </c>
    </row>
    <row r="37" spans="1:11" x14ac:dyDescent="0.2">
      <c r="A37" s="9">
        <v>59017972</v>
      </c>
      <c r="B37" s="11" t="s">
        <v>161</v>
      </c>
      <c r="C37" s="6" t="s">
        <v>99</v>
      </c>
      <c r="D37" s="62">
        <v>52.5</v>
      </c>
      <c r="E37" s="62">
        <v>52.5</v>
      </c>
      <c r="F37" s="7">
        <v>20</v>
      </c>
      <c r="G37" s="116">
        <f t="shared" si="2"/>
        <v>2.625</v>
      </c>
      <c r="H37" s="117">
        <f t="shared" si="3"/>
        <v>52.5</v>
      </c>
    </row>
    <row r="38" spans="1:11" x14ac:dyDescent="0.2">
      <c r="A38" s="9">
        <v>59015072</v>
      </c>
      <c r="B38" s="10" t="s">
        <v>161</v>
      </c>
      <c r="C38" s="6" t="s">
        <v>91</v>
      </c>
      <c r="D38" s="118">
        <v>92</v>
      </c>
      <c r="E38" s="118">
        <v>92</v>
      </c>
      <c r="F38" s="7">
        <v>40</v>
      </c>
      <c r="G38" s="116">
        <f t="shared" si="2"/>
        <v>2.2999999999999998</v>
      </c>
      <c r="H38" s="117">
        <f t="shared" si="3"/>
        <v>92</v>
      </c>
    </row>
    <row r="39" spans="1:11" x14ac:dyDescent="0.2">
      <c r="A39" s="9">
        <v>59049276</v>
      </c>
      <c r="B39" s="10" t="s">
        <v>149</v>
      </c>
      <c r="C39" s="6" t="s">
        <v>24</v>
      </c>
      <c r="D39" s="62">
        <v>290.63</v>
      </c>
      <c r="E39" s="62">
        <v>290.63</v>
      </c>
      <c r="F39" s="7">
        <v>5</v>
      </c>
      <c r="G39" s="116">
        <f t="shared" si="2"/>
        <v>58.125999999999998</v>
      </c>
      <c r="H39" s="117">
        <f t="shared" si="3"/>
        <v>290.63</v>
      </c>
    </row>
    <row r="40" spans="1:11" x14ac:dyDescent="0.2">
      <c r="A40" s="9">
        <v>59011279</v>
      </c>
      <c r="B40" s="10" t="s">
        <v>149</v>
      </c>
      <c r="C40" s="6" t="s">
        <v>8</v>
      </c>
      <c r="D40" s="118">
        <v>1035</v>
      </c>
      <c r="E40" s="62">
        <v>1063.6500000000001</v>
      </c>
      <c r="F40" s="7">
        <v>15</v>
      </c>
      <c r="G40" s="116">
        <f t="shared" si="2"/>
        <v>69</v>
      </c>
      <c r="H40" s="117">
        <f t="shared" si="3"/>
        <v>1035</v>
      </c>
    </row>
    <row r="41" spans="1:11" x14ac:dyDescent="0.2">
      <c r="A41" s="1">
        <v>59017959</v>
      </c>
      <c r="B41" s="2" t="s">
        <v>159</v>
      </c>
      <c r="C41" s="1" t="s">
        <v>93</v>
      </c>
      <c r="D41" s="62">
        <v>60.75</v>
      </c>
      <c r="E41" s="62">
        <v>60.75</v>
      </c>
      <c r="F41" s="7">
        <v>15</v>
      </c>
      <c r="G41" s="116">
        <f t="shared" si="2"/>
        <v>4.05</v>
      </c>
      <c r="H41" s="117">
        <f t="shared" si="3"/>
        <v>60.75</v>
      </c>
    </row>
    <row r="42" spans="1:11" x14ac:dyDescent="0.2">
      <c r="A42" s="1">
        <v>59012784</v>
      </c>
      <c r="B42" s="2" t="s">
        <v>159</v>
      </c>
      <c r="C42" s="1" t="s">
        <v>92</v>
      </c>
      <c r="D42" s="62">
        <v>112.5</v>
      </c>
      <c r="E42" s="62">
        <v>112.5</v>
      </c>
      <c r="F42" s="7">
        <v>30</v>
      </c>
      <c r="G42" s="116">
        <f t="shared" si="2"/>
        <v>3.75</v>
      </c>
      <c r="H42" s="117">
        <f t="shared" si="3"/>
        <v>112.5</v>
      </c>
    </row>
    <row r="43" spans="1:11" x14ac:dyDescent="0.2">
      <c r="A43" s="150">
        <v>59026395</v>
      </c>
      <c r="B43" s="151" t="s">
        <v>237</v>
      </c>
      <c r="C43" s="152" t="s">
        <v>204</v>
      </c>
      <c r="D43" s="153">
        <v>0</v>
      </c>
      <c r="E43" s="158">
        <f>D43</f>
        <v>0</v>
      </c>
      <c r="F43" s="7">
        <f>4*43.5</f>
        <v>174</v>
      </c>
      <c r="G43" s="116">
        <f t="shared" si="2"/>
        <v>0</v>
      </c>
      <c r="H43" s="117">
        <f t="shared" si="3"/>
        <v>0</v>
      </c>
      <c r="J43" s="154" t="s">
        <v>207</v>
      </c>
      <c r="K43" s="154" t="s">
        <v>262</v>
      </c>
    </row>
    <row r="44" spans="1:11" x14ac:dyDescent="0.2">
      <c r="A44" s="9">
        <v>59018005</v>
      </c>
      <c r="B44" s="10" t="s">
        <v>162</v>
      </c>
      <c r="C44" s="6" t="s">
        <v>189</v>
      </c>
      <c r="D44" s="62">
        <v>1552</v>
      </c>
      <c r="E44" s="62">
        <v>1595.04</v>
      </c>
      <c r="F44" s="7">
        <v>16</v>
      </c>
      <c r="G44" s="116">
        <f t="shared" si="2"/>
        <v>97</v>
      </c>
      <c r="H44" s="117">
        <f t="shared" si="3"/>
        <v>1552</v>
      </c>
    </row>
    <row r="45" spans="1:11" x14ac:dyDescent="0.2">
      <c r="A45" s="9">
        <v>59014427</v>
      </c>
      <c r="B45" s="10" t="s">
        <v>146</v>
      </c>
      <c r="C45" s="6" t="s">
        <v>24</v>
      </c>
      <c r="D45" s="62">
        <v>1706.25</v>
      </c>
      <c r="E45" s="149" t="s">
        <v>248</v>
      </c>
      <c r="F45" s="7">
        <v>5</v>
      </c>
      <c r="G45" s="116">
        <f t="shared" si="2"/>
        <v>341.25</v>
      </c>
      <c r="H45" s="117">
        <f t="shared" si="3"/>
        <v>1706.25</v>
      </c>
    </row>
    <row r="46" spans="1:11" x14ac:dyDescent="0.2">
      <c r="A46" s="9">
        <v>59011057</v>
      </c>
      <c r="B46" s="10" t="s">
        <v>145</v>
      </c>
      <c r="C46" s="6" t="s">
        <v>94</v>
      </c>
      <c r="D46" s="62">
        <v>318.75</v>
      </c>
      <c r="E46" s="62">
        <v>318.75</v>
      </c>
      <c r="F46" s="7">
        <v>15</v>
      </c>
      <c r="G46" s="116">
        <f t="shared" si="2"/>
        <v>21.25</v>
      </c>
      <c r="H46" s="117">
        <f t="shared" si="3"/>
        <v>318.75</v>
      </c>
    </row>
    <row r="47" spans="1:11" x14ac:dyDescent="0.2">
      <c r="A47" s="9">
        <v>59023753</v>
      </c>
      <c r="B47" s="10" t="s">
        <v>147</v>
      </c>
      <c r="C47" s="6" t="s">
        <v>134</v>
      </c>
      <c r="D47" s="118">
        <v>740</v>
      </c>
      <c r="E47" s="62">
        <v>760.52</v>
      </c>
      <c r="F47" s="7">
        <f>4*0.125</f>
        <v>0.5</v>
      </c>
      <c r="G47" s="116">
        <f t="shared" si="2"/>
        <v>1480</v>
      </c>
      <c r="H47" s="117">
        <f t="shared" si="3"/>
        <v>740</v>
      </c>
    </row>
    <row r="48" spans="1:11" x14ac:dyDescent="0.2">
      <c r="A48" s="9">
        <v>59014247</v>
      </c>
      <c r="B48" s="10" t="s">
        <v>144</v>
      </c>
      <c r="C48" s="6" t="s">
        <v>24</v>
      </c>
      <c r="D48" s="62">
        <v>2100</v>
      </c>
      <c r="E48" s="62">
        <v>2158.3000000000002</v>
      </c>
      <c r="F48" s="7">
        <v>5</v>
      </c>
      <c r="G48" s="116">
        <f t="shared" si="2"/>
        <v>420</v>
      </c>
      <c r="H48" s="117">
        <f t="shared" si="3"/>
        <v>2100</v>
      </c>
    </row>
    <row r="49" spans="1:11" x14ac:dyDescent="0.2">
      <c r="A49" s="9">
        <v>59013723</v>
      </c>
      <c r="B49" s="12" t="s">
        <v>184</v>
      </c>
      <c r="C49" s="6" t="s">
        <v>135</v>
      </c>
      <c r="D49" s="62">
        <v>273.75</v>
      </c>
      <c r="E49" s="62">
        <v>273.75</v>
      </c>
      <c r="F49" s="7">
        <f>12*0.25</f>
        <v>3</v>
      </c>
      <c r="G49" s="116">
        <f t="shared" si="2"/>
        <v>91.25</v>
      </c>
      <c r="H49" s="117">
        <f t="shared" si="3"/>
        <v>273.75</v>
      </c>
      <c r="J49" s="7" t="s">
        <v>280</v>
      </c>
    </row>
    <row r="50" spans="1:11" x14ac:dyDescent="0.2">
      <c r="A50" s="9">
        <v>59013314</v>
      </c>
      <c r="B50" s="12" t="s">
        <v>184</v>
      </c>
      <c r="C50" s="6" t="s">
        <v>95</v>
      </c>
      <c r="D50" s="62">
        <v>1717.5</v>
      </c>
      <c r="E50" s="62">
        <v>1717.5</v>
      </c>
      <c r="F50" s="7">
        <v>30</v>
      </c>
      <c r="G50" s="116">
        <f t="shared" si="2"/>
        <v>57.25</v>
      </c>
      <c r="H50" s="117">
        <f t="shared" si="3"/>
        <v>1717.5</v>
      </c>
      <c r="J50" s="7" t="s">
        <v>280</v>
      </c>
    </row>
    <row r="51" spans="1:11" x14ac:dyDescent="0.2">
      <c r="A51" s="9">
        <v>59030213</v>
      </c>
      <c r="B51" s="12" t="s">
        <v>184</v>
      </c>
      <c r="C51" s="6" t="s">
        <v>24</v>
      </c>
      <c r="D51" s="62">
        <v>305.63</v>
      </c>
      <c r="E51" s="62">
        <v>305.63</v>
      </c>
      <c r="F51" s="7">
        <v>5</v>
      </c>
      <c r="G51" s="116">
        <f t="shared" si="2"/>
        <v>61.125999999999998</v>
      </c>
      <c r="H51" s="117">
        <f t="shared" si="3"/>
        <v>305.63</v>
      </c>
    </row>
    <row r="52" spans="1:11" x14ac:dyDescent="0.2">
      <c r="A52" s="9">
        <v>59013420</v>
      </c>
      <c r="B52" s="12" t="s">
        <v>184</v>
      </c>
      <c r="C52" s="6" t="s">
        <v>131</v>
      </c>
      <c r="D52" s="62">
        <v>262.5</v>
      </c>
      <c r="E52" s="62">
        <v>262.5</v>
      </c>
      <c r="F52" s="7">
        <v>4</v>
      </c>
      <c r="G52" s="116">
        <f t="shared" si="2"/>
        <v>65.625</v>
      </c>
      <c r="H52" s="117">
        <f t="shared" si="3"/>
        <v>262.5</v>
      </c>
      <c r="J52" s="154" t="s">
        <v>207</v>
      </c>
      <c r="K52" s="154" t="s">
        <v>261</v>
      </c>
    </row>
    <row r="53" spans="1:11" x14ac:dyDescent="0.2">
      <c r="A53" s="9">
        <v>59014680</v>
      </c>
      <c r="B53" s="12" t="s">
        <v>187</v>
      </c>
      <c r="C53" s="6" t="s">
        <v>136</v>
      </c>
      <c r="D53" s="62">
        <v>1360</v>
      </c>
      <c r="E53" s="62">
        <v>1397.6</v>
      </c>
      <c r="F53" s="7">
        <f>4*20</f>
        <v>80</v>
      </c>
      <c r="G53" s="116">
        <f t="shared" si="2"/>
        <v>17</v>
      </c>
      <c r="H53" s="117">
        <f t="shared" si="3"/>
        <v>1360</v>
      </c>
    </row>
    <row r="54" spans="1:11" x14ac:dyDescent="0.2">
      <c r="D54" s="163">
        <f>SUM(D21:D53)</f>
        <v>22882.93</v>
      </c>
      <c r="E54" s="163">
        <f>SUM(E21:E53)</f>
        <v>17931.949999999997</v>
      </c>
    </row>
    <row r="55" spans="1:11" x14ac:dyDescent="0.2">
      <c r="J55" s="117"/>
    </row>
  </sheetData>
  <mergeCells count="2">
    <mergeCell ref="A1:E1"/>
    <mergeCell ref="A19:E19"/>
  </mergeCells>
  <hyperlinks>
    <hyperlink ref="B6" r:id="rId1" display="Encartis@ fungicide" xr:uid="{A75F0AD4-94B5-4926-84F9-235CBF5F876C}"/>
  </hyperlinks>
  <pageMargins left="0.7" right="0.7" top="0.75" bottom="0.75" header="0.3" footer="0.3"/>
  <pageSetup orientation="portrait" r:id="rId2"/>
  <headerFooter>
    <oddFooter>&amp;C_x000D_&amp;1#&amp;"Arial"&amp;10&amp;K000000 Internal</oddFooter>
  </headerFooter>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dimension ref="A1:R43"/>
  <sheetViews>
    <sheetView workbookViewId="0">
      <selection activeCell="B13" sqref="B13"/>
    </sheetView>
  </sheetViews>
  <sheetFormatPr defaultColWidth="8.85546875" defaultRowHeight="12.75" x14ac:dyDescent="0.2"/>
  <cols>
    <col min="1" max="1" width="33" bestFit="1" customWidth="1"/>
    <col min="2" max="2" width="12" bestFit="1" customWidth="1"/>
    <col min="3" max="3" width="14.7109375" bestFit="1" customWidth="1"/>
    <col min="4" max="4" width="14" bestFit="1" customWidth="1"/>
    <col min="5" max="5" width="12.42578125" bestFit="1" customWidth="1"/>
    <col min="6" max="6" width="12.5703125" bestFit="1" customWidth="1"/>
    <col min="7" max="7" width="12.5703125" customWidth="1"/>
    <col min="8" max="8" width="12.7109375" bestFit="1" customWidth="1"/>
    <col min="13" max="13" width="12" bestFit="1" customWidth="1"/>
    <col min="14" max="14" width="10.5703125" bestFit="1" customWidth="1"/>
  </cols>
  <sheetData>
    <row r="1" spans="1:18" x14ac:dyDescent="0.2">
      <c r="A1" s="19" t="s">
        <v>11</v>
      </c>
      <c r="B1" s="20"/>
      <c r="C1" s="20"/>
      <c r="D1" s="19"/>
      <c r="E1" s="19"/>
      <c r="F1" s="19"/>
      <c r="G1" s="19"/>
      <c r="H1" s="19"/>
      <c r="I1" s="19"/>
      <c r="J1" s="19"/>
    </row>
    <row r="2" spans="1:18" x14ac:dyDescent="0.2">
      <c r="A2" s="296" t="s">
        <v>12</v>
      </c>
      <c r="B2" s="296"/>
      <c r="C2" s="20"/>
      <c r="D2" s="19"/>
      <c r="E2" s="19">
        <v>4</v>
      </c>
      <c r="F2" s="19">
        <v>5</v>
      </c>
      <c r="G2" s="19">
        <v>6</v>
      </c>
      <c r="H2" s="19">
        <v>7</v>
      </c>
      <c r="I2" s="19"/>
      <c r="J2" s="19"/>
    </row>
    <row r="3" spans="1:18" x14ac:dyDescent="0.2">
      <c r="A3" s="101" t="s">
        <v>13</v>
      </c>
      <c r="B3" s="102" t="s">
        <v>14</v>
      </c>
      <c r="C3" s="103" t="s">
        <v>15</v>
      </c>
      <c r="D3" s="101" t="s">
        <v>16</v>
      </c>
      <c r="E3" s="101" t="s">
        <v>17</v>
      </c>
      <c r="F3" s="101" t="s">
        <v>54</v>
      </c>
      <c r="G3" s="101" t="s">
        <v>174</v>
      </c>
      <c r="H3" s="101" t="s">
        <v>18</v>
      </c>
      <c r="I3" s="19"/>
      <c r="J3" s="19"/>
      <c r="K3" s="101" t="s">
        <v>17</v>
      </c>
      <c r="L3" s="101" t="s">
        <v>54</v>
      </c>
      <c r="M3" s="101" t="s">
        <v>18</v>
      </c>
    </row>
    <row r="4" spans="1:18" x14ac:dyDescent="0.2">
      <c r="A4" s="2" t="s">
        <v>256</v>
      </c>
      <c r="B4" s="1">
        <v>59026671</v>
      </c>
      <c r="C4" s="1" t="s">
        <v>24</v>
      </c>
      <c r="D4" s="109"/>
      <c r="E4" s="99"/>
      <c r="F4" s="99"/>
      <c r="G4" s="99"/>
      <c r="H4" s="191">
        <f>640/43.5</f>
        <v>14.712643678160919</v>
      </c>
      <c r="I4" s="19"/>
      <c r="J4" s="19"/>
      <c r="K4" s="23"/>
      <c r="L4" s="23"/>
      <c r="M4" s="191">
        <f>640/43.5</f>
        <v>14.712643678160919</v>
      </c>
    </row>
    <row r="5" spans="1:18" x14ac:dyDescent="0.2">
      <c r="A5" s="2" t="s">
        <v>256</v>
      </c>
      <c r="B5" s="1">
        <v>59032979</v>
      </c>
      <c r="C5" s="1" t="s">
        <v>277</v>
      </c>
      <c r="D5" s="109"/>
      <c r="E5" s="99"/>
      <c r="F5" s="99"/>
      <c r="G5" s="99"/>
      <c r="H5" s="191">
        <f>174/43.5</f>
        <v>4</v>
      </c>
      <c r="I5" s="19"/>
      <c r="J5" s="19"/>
      <c r="K5" s="23"/>
      <c r="L5" s="23"/>
      <c r="M5" s="191">
        <f>174/43.5</f>
        <v>4</v>
      </c>
    </row>
    <row r="6" spans="1:18" x14ac:dyDescent="0.2">
      <c r="A6" s="100" t="s">
        <v>82</v>
      </c>
      <c r="B6" s="21">
        <v>59021463</v>
      </c>
      <c r="C6" s="22" t="s">
        <v>22</v>
      </c>
      <c r="D6" s="109"/>
      <c r="E6" s="99"/>
      <c r="F6" s="99"/>
      <c r="G6" s="99"/>
      <c r="H6" s="191">
        <v>10</v>
      </c>
      <c r="I6" s="19"/>
      <c r="J6" s="19"/>
      <c r="K6" s="23">
        <v>13.9</v>
      </c>
      <c r="L6" s="23">
        <v>12</v>
      </c>
      <c r="M6" s="23">
        <v>10</v>
      </c>
      <c r="Q6">
        <v>5</v>
      </c>
      <c r="R6" t="s">
        <v>283</v>
      </c>
    </row>
    <row r="7" spans="1:18" x14ac:dyDescent="0.2">
      <c r="A7" s="100" t="s">
        <v>82</v>
      </c>
      <c r="B7" s="21">
        <v>59012825</v>
      </c>
      <c r="C7" s="22" t="s">
        <v>23</v>
      </c>
      <c r="D7" s="109"/>
      <c r="E7" s="99"/>
      <c r="F7" s="99"/>
      <c r="G7" s="99"/>
      <c r="H7" s="191">
        <v>50</v>
      </c>
      <c r="I7" s="19"/>
      <c r="J7" s="19"/>
      <c r="K7" s="23">
        <v>69.3</v>
      </c>
      <c r="L7" s="23">
        <v>60</v>
      </c>
      <c r="M7" s="23">
        <v>50</v>
      </c>
      <c r="Q7">
        <v>640</v>
      </c>
      <c r="R7" t="s">
        <v>284</v>
      </c>
    </row>
    <row r="8" spans="1:18" x14ac:dyDescent="0.2">
      <c r="A8" s="100" t="s">
        <v>190</v>
      </c>
      <c r="B8" s="21">
        <v>59014003</v>
      </c>
      <c r="C8" s="126" t="s">
        <v>24</v>
      </c>
      <c r="D8" s="109"/>
      <c r="E8" s="99"/>
      <c r="F8" s="23">
        <v>4.9000000000000004</v>
      </c>
      <c r="G8" s="23">
        <v>4.2</v>
      </c>
      <c r="H8" s="192">
        <v>3.7</v>
      </c>
      <c r="I8" s="19"/>
      <c r="J8" s="19"/>
      <c r="K8" s="121">
        <v>99</v>
      </c>
      <c r="L8" s="121">
        <v>99</v>
      </c>
      <c r="M8" s="121">
        <v>99</v>
      </c>
    </row>
    <row r="9" spans="1:18" x14ac:dyDescent="0.2">
      <c r="A9" s="100" t="s">
        <v>83</v>
      </c>
      <c r="B9" s="21">
        <v>59012885</v>
      </c>
      <c r="C9" s="22" t="s">
        <v>5</v>
      </c>
      <c r="D9" s="109"/>
      <c r="E9" s="99"/>
      <c r="F9" s="99"/>
      <c r="G9" s="99"/>
      <c r="H9" s="191">
        <v>12</v>
      </c>
      <c r="I9" s="19"/>
      <c r="J9" s="19"/>
      <c r="K9" s="23">
        <v>24</v>
      </c>
      <c r="L9" s="23">
        <v>18</v>
      </c>
      <c r="M9" s="23">
        <v>12</v>
      </c>
      <c r="Q9">
        <f>4*43.5</f>
        <v>174</v>
      </c>
    </row>
    <row r="10" spans="1:18" x14ac:dyDescent="0.2">
      <c r="A10" s="100" t="s">
        <v>83</v>
      </c>
      <c r="B10" s="21">
        <v>59012350</v>
      </c>
      <c r="C10" s="22" t="s">
        <v>4</v>
      </c>
      <c r="D10" s="109"/>
      <c r="E10" s="99"/>
      <c r="F10" s="99"/>
      <c r="G10" s="99"/>
      <c r="H10" s="191">
        <v>6</v>
      </c>
      <c r="I10" s="19"/>
      <c r="J10" s="19"/>
      <c r="K10" s="23">
        <v>12</v>
      </c>
      <c r="L10" s="23">
        <v>9</v>
      </c>
      <c r="M10" s="23">
        <v>6</v>
      </c>
    </row>
    <row r="11" spans="1:18" x14ac:dyDescent="0.2">
      <c r="A11" s="100" t="s">
        <v>84</v>
      </c>
      <c r="B11" s="21">
        <v>59028040</v>
      </c>
      <c r="C11" s="22" t="s">
        <v>24</v>
      </c>
      <c r="D11" s="109"/>
      <c r="E11" s="113"/>
      <c r="F11" s="113"/>
      <c r="G11" s="113"/>
      <c r="H11" s="193">
        <v>21</v>
      </c>
      <c r="I11" s="19"/>
      <c r="J11" s="19"/>
      <c r="K11" s="23">
        <v>36.799999999999997</v>
      </c>
      <c r="L11" s="23">
        <v>28.9</v>
      </c>
      <c r="M11" s="23">
        <v>21</v>
      </c>
      <c r="Q11">
        <f>Q7/Q9</f>
        <v>3.6781609195402298</v>
      </c>
    </row>
    <row r="12" spans="1:18" x14ac:dyDescent="0.2">
      <c r="A12" s="100" t="s">
        <v>84</v>
      </c>
      <c r="B12" s="21">
        <v>59028038</v>
      </c>
      <c r="C12" s="22" t="s">
        <v>29</v>
      </c>
      <c r="D12" s="109"/>
      <c r="E12" s="99"/>
      <c r="F12" s="99"/>
      <c r="G12" s="99"/>
      <c r="H12" s="192">
        <v>4</v>
      </c>
      <c r="I12" s="19"/>
      <c r="J12" s="19"/>
      <c r="K12" s="23">
        <v>7</v>
      </c>
      <c r="L12" s="23">
        <v>5.5</v>
      </c>
      <c r="M12" s="23">
        <v>4</v>
      </c>
    </row>
    <row r="13" spans="1:18" x14ac:dyDescent="0.2">
      <c r="A13" s="100" t="s">
        <v>85</v>
      </c>
      <c r="B13" s="21">
        <v>59027998</v>
      </c>
      <c r="C13" s="22" t="s">
        <v>26</v>
      </c>
      <c r="D13" s="109"/>
      <c r="E13" s="99"/>
      <c r="F13" s="99"/>
      <c r="G13" s="99"/>
      <c r="H13" s="191">
        <v>4</v>
      </c>
      <c r="I13" s="19"/>
      <c r="J13" s="19"/>
      <c r="K13" s="23">
        <v>5.68</v>
      </c>
      <c r="L13" s="23">
        <v>4.84</v>
      </c>
      <c r="M13" s="23">
        <v>4</v>
      </c>
    </row>
    <row r="14" spans="1:18" x14ac:dyDescent="0.2">
      <c r="A14" s="100" t="s">
        <v>138</v>
      </c>
      <c r="B14" s="21">
        <v>59018087</v>
      </c>
      <c r="C14" s="22" t="s">
        <v>97</v>
      </c>
      <c r="D14" s="109"/>
      <c r="E14" s="23">
        <v>12</v>
      </c>
      <c r="F14" s="23">
        <v>6</v>
      </c>
      <c r="G14" s="23">
        <v>4</v>
      </c>
      <c r="H14" s="191">
        <v>3</v>
      </c>
      <c r="I14" s="19"/>
      <c r="J14" s="19"/>
      <c r="K14" s="23">
        <v>12</v>
      </c>
      <c r="L14" s="23">
        <v>6</v>
      </c>
      <c r="M14" s="23">
        <v>3</v>
      </c>
    </row>
    <row r="15" spans="1:18" x14ac:dyDescent="0.2">
      <c r="A15" s="100" t="s">
        <v>117</v>
      </c>
      <c r="B15" s="21">
        <v>59018071</v>
      </c>
      <c r="C15" s="22" t="s">
        <v>24</v>
      </c>
      <c r="D15" s="109"/>
      <c r="E15" s="23">
        <v>73.5</v>
      </c>
      <c r="F15" s="23">
        <v>36</v>
      </c>
      <c r="G15" s="23">
        <v>24.6</v>
      </c>
      <c r="H15" s="194">
        <v>18</v>
      </c>
      <c r="I15" s="19"/>
      <c r="J15" s="19"/>
      <c r="K15" s="23">
        <v>73.5</v>
      </c>
      <c r="L15" s="23">
        <v>36</v>
      </c>
      <c r="M15" s="23">
        <v>18</v>
      </c>
    </row>
    <row r="16" spans="1:18" x14ac:dyDescent="0.2">
      <c r="A16" s="100" t="s">
        <v>140</v>
      </c>
      <c r="B16" s="21">
        <v>59018094</v>
      </c>
      <c r="C16" s="126" t="s">
        <v>130</v>
      </c>
      <c r="D16" s="109"/>
      <c r="E16" s="99"/>
      <c r="F16" s="99"/>
      <c r="G16" s="99"/>
      <c r="H16" s="191">
        <v>4</v>
      </c>
      <c r="I16" s="19"/>
      <c r="J16" s="19"/>
      <c r="K16" s="23"/>
      <c r="L16" s="23">
        <v>5</v>
      </c>
      <c r="M16" s="23">
        <v>4</v>
      </c>
    </row>
    <row r="17" spans="1:14" x14ac:dyDescent="0.2">
      <c r="A17" s="100" t="s">
        <v>116</v>
      </c>
      <c r="B17" s="21">
        <v>59018095</v>
      </c>
      <c r="C17" s="127" t="s">
        <v>24</v>
      </c>
      <c r="D17" s="109"/>
      <c r="E17" s="99"/>
      <c r="F17" s="99"/>
      <c r="G17" s="99"/>
      <c r="H17" s="191">
        <v>17</v>
      </c>
      <c r="I17" s="19"/>
      <c r="J17" s="19"/>
      <c r="K17" s="23"/>
      <c r="L17" s="23">
        <v>21</v>
      </c>
      <c r="M17" s="23">
        <v>17</v>
      </c>
    </row>
    <row r="18" spans="1:14" x14ac:dyDescent="0.2">
      <c r="A18" s="2" t="s">
        <v>115</v>
      </c>
      <c r="B18" s="21">
        <v>59017959</v>
      </c>
      <c r="C18" s="22" t="s">
        <v>94</v>
      </c>
      <c r="D18" s="109"/>
      <c r="E18" s="113"/>
      <c r="F18" s="113"/>
      <c r="G18" s="113"/>
      <c r="H18" s="113"/>
      <c r="I18" s="19"/>
      <c r="J18" s="19"/>
      <c r="K18" s="23">
        <v>0.11</v>
      </c>
      <c r="L18" s="23">
        <v>0.11</v>
      </c>
      <c r="M18" s="23">
        <v>0.11</v>
      </c>
    </row>
    <row r="19" spans="1:14" x14ac:dyDescent="0.2">
      <c r="A19" s="2" t="s">
        <v>115</v>
      </c>
      <c r="B19" s="21">
        <v>59012784</v>
      </c>
      <c r="C19" s="22" t="s">
        <v>53</v>
      </c>
      <c r="D19" s="109"/>
      <c r="E19" s="113"/>
      <c r="F19" s="113"/>
      <c r="G19" s="113"/>
      <c r="H19" s="113"/>
      <c r="I19" s="19"/>
      <c r="J19" s="19"/>
      <c r="K19" s="23">
        <v>0.22</v>
      </c>
      <c r="L19" s="23">
        <v>0.22</v>
      </c>
      <c r="M19" s="23">
        <v>0.22</v>
      </c>
    </row>
    <row r="20" spans="1:14" x14ac:dyDescent="0.2">
      <c r="A20" s="100" t="s">
        <v>86</v>
      </c>
      <c r="B20" s="21">
        <v>59013833</v>
      </c>
      <c r="C20" s="22" t="s">
        <v>20</v>
      </c>
      <c r="D20" s="109"/>
      <c r="E20" s="113"/>
      <c r="F20" s="23">
        <v>32.799999999999997</v>
      </c>
      <c r="G20" s="23">
        <v>25</v>
      </c>
      <c r="H20" s="23">
        <v>20</v>
      </c>
      <c r="I20" s="19"/>
      <c r="J20" s="19"/>
      <c r="K20" s="23">
        <v>32.799999999999997</v>
      </c>
      <c r="L20" s="23">
        <v>24.95</v>
      </c>
      <c r="M20" s="23">
        <v>20</v>
      </c>
    </row>
    <row r="21" spans="1:14" x14ac:dyDescent="0.2">
      <c r="A21" s="100" t="s">
        <v>87</v>
      </c>
      <c r="B21" s="21">
        <v>59014120</v>
      </c>
      <c r="C21" s="22" t="s">
        <v>9</v>
      </c>
      <c r="D21" s="109"/>
      <c r="E21" s="113"/>
      <c r="F21" s="23">
        <v>6.6</v>
      </c>
      <c r="G21" s="23">
        <v>5</v>
      </c>
      <c r="H21" s="23">
        <v>4</v>
      </c>
      <c r="I21" s="19"/>
      <c r="J21" s="19"/>
      <c r="K21" s="23">
        <v>6.6</v>
      </c>
      <c r="L21" s="23">
        <v>5</v>
      </c>
      <c r="M21" s="23">
        <v>4</v>
      </c>
    </row>
    <row r="22" spans="1:14" x14ac:dyDescent="0.2">
      <c r="A22" s="19"/>
      <c r="B22" s="19"/>
      <c r="C22" s="19"/>
      <c r="D22" s="19"/>
      <c r="E22" s="19"/>
      <c r="F22" s="19"/>
      <c r="G22" s="19"/>
      <c r="H22" s="19"/>
      <c r="I22" s="19"/>
      <c r="J22" s="19"/>
    </row>
    <row r="23" spans="1:14" x14ac:dyDescent="0.2">
      <c r="A23" s="19"/>
      <c r="B23" s="19"/>
      <c r="C23" s="19"/>
      <c r="D23" s="19"/>
      <c r="E23" s="19"/>
      <c r="F23" s="19"/>
      <c r="G23" s="19"/>
      <c r="H23" s="19"/>
      <c r="I23" s="19"/>
      <c r="J23" s="19"/>
    </row>
    <row r="24" spans="1:14" x14ac:dyDescent="0.2">
      <c r="A24" s="101" t="s">
        <v>178</v>
      </c>
      <c r="B24" s="101" t="s">
        <v>108</v>
      </c>
      <c r="C24" s="101" t="s">
        <v>179</v>
      </c>
      <c r="E24">
        <v>43.5</v>
      </c>
    </row>
    <row r="25" spans="1:14" x14ac:dyDescent="0.2">
      <c r="A25" s="115" t="s">
        <v>257</v>
      </c>
      <c r="B25" s="115" t="s">
        <v>285</v>
      </c>
      <c r="C25" s="115"/>
    </row>
    <row r="26" spans="1:14" x14ac:dyDescent="0.2">
      <c r="A26" s="115" t="s">
        <v>21</v>
      </c>
      <c r="B26" s="115" t="str">
        <f>"8.0"&amp;" "&amp;F26</f>
        <v>8.0 oz</v>
      </c>
      <c r="C26" s="115" t="s">
        <v>177</v>
      </c>
      <c r="D26">
        <v>0.18</v>
      </c>
      <c r="E26" s="156">
        <f>D26*$E$24</f>
        <v>7.83</v>
      </c>
      <c r="F26" s="19" t="s">
        <v>221</v>
      </c>
      <c r="M26">
        <f>5*128</f>
        <v>640</v>
      </c>
      <c r="N26" s="175">
        <f>M26/43.6</f>
        <v>14.678899082568806</v>
      </c>
    </row>
    <row r="27" spans="1:14" x14ac:dyDescent="0.2">
      <c r="A27" s="115" t="s">
        <v>191</v>
      </c>
      <c r="B27" s="115" t="s">
        <v>203</v>
      </c>
      <c r="C27" s="115"/>
      <c r="E27" s="156"/>
    </row>
    <row r="28" spans="1:14" x14ac:dyDescent="0.2">
      <c r="A28" s="115" t="s">
        <v>191</v>
      </c>
      <c r="B28" s="115" t="s">
        <v>194</v>
      </c>
      <c r="C28" s="115">
        <v>5</v>
      </c>
      <c r="E28" s="156"/>
    </row>
    <row r="29" spans="1:14" x14ac:dyDescent="0.2">
      <c r="A29" s="115" t="s">
        <v>191</v>
      </c>
      <c r="B29" s="115" t="s">
        <v>195</v>
      </c>
      <c r="C29" s="115">
        <v>6</v>
      </c>
      <c r="E29" s="156"/>
      <c r="M29">
        <f>5*128</f>
        <v>640</v>
      </c>
    </row>
    <row r="30" spans="1:14" x14ac:dyDescent="0.2">
      <c r="A30" s="115" t="s">
        <v>191</v>
      </c>
      <c r="B30" s="115" t="s">
        <v>196</v>
      </c>
      <c r="C30" s="115">
        <v>7</v>
      </c>
      <c r="E30" s="156"/>
      <c r="M30">
        <f>M29/43.6</f>
        <v>14.678899082568806</v>
      </c>
    </row>
    <row r="31" spans="1:14" x14ac:dyDescent="0.2">
      <c r="A31" s="115" t="s">
        <v>27</v>
      </c>
      <c r="B31" s="115" t="str">
        <f>"48.0"&amp;" "&amp;F31</f>
        <v>48.0 oz</v>
      </c>
      <c r="C31" s="115" t="s">
        <v>177</v>
      </c>
      <c r="D31">
        <v>1.1000000000000001</v>
      </c>
      <c r="E31" s="156">
        <f>D31*$E$24</f>
        <v>47.85</v>
      </c>
      <c r="F31" s="19" t="s">
        <v>221</v>
      </c>
    </row>
    <row r="32" spans="1:14" x14ac:dyDescent="0.2">
      <c r="A32" s="115" t="s">
        <v>175</v>
      </c>
      <c r="B32" s="115" t="str">
        <f>30.5&amp;" "&amp;F32</f>
        <v>30.5 oz</v>
      </c>
      <c r="C32" s="115" t="s">
        <v>177</v>
      </c>
      <c r="D32">
        <v>0.7</v>
      </c>
      <c r="E32" s="156">
        <f>D32*$E$24</f>
        <v>30.45</v>
      </c>
      <c r="F32" s="19" t="s">
        <v>221</v>
      </c>
    </row>
    <row r="33" spans="1:13" x14ac:dyDescent="0.2">
      <c r="A33" s="115" t="s">
        <v>25</v>
      </c>
      <c r="B33" s="115" t="str">
        <f>"21.0"&amp;" "&amp;F33</f>
        <v>21.0 oz</v>
      </c>
      <c r="C33" s="115" t="s">
        <v>177</v>
      </c>
      <c r="D33">
        <v>0.47</v>
      </c>
      <c r="E33" s="156">
        <f>D33*$E$24</f>
        <v>20.445</v>
      </c>
      <c r="F33" s="19" t="s">
        <v>221</v>
      </c>
      <c r="M33" s="174">
        <f>0.07*M26</f>
        <v>44.800000000000004</v>
      </c>
    </row>
    <row r="34" spans="1:13" x14ac:dyDescent="0.2">
      <c r="A34" s="115" t="s">
        <v>105</v>
      </c>
      <c r="B34" s="115" t="str">
        <f>37.5&amp;" "&amp;F34</f>
        <v>37.5 oz</v>
      </c>
      <c r="C34" s="115" t="s">
        <v>177</v>
      </c>
      <c r="D34">
        <v>0.85</v>
      </c>
      <c r="E34" s="156">
        <f>D34*$E$24</f>
        <v>36.975000000000001</v>
      </c>
      <c r="F34" s="19" t="s">
        <v>221</v>
      </c>
    </row>
    <row r="35" spans="1:13" x14ac:dyDescent="0.2">
      <c r="A35" s="115" t="s">
        <v>104</v>
      </c>
      <c r="B35" s="115" t="s">
        <v>203</v>
      </c>
      <c r="C35" s="115"/>
      <c r="E35" s="156"/>
      <c r="M35">
        <f>0.07*M26</f>
        <v>44.800000000000004</v>
      </c>
    </row>
    <row r="36" spans="1:13" x14ac:dyDescent="0.2">
      <c r="A36" s="115" t="s">
        <v>104</v>
      </c>
      <c r="B36" s="115" t="str">
        <f t="shared" ref="B36:B39" si="0">E36&amp;" "&amp;F36</f>
        <v>8.7 oz</v>
      </c>
      <c r="C36" s="115">
        <v>4</v>
      </c>
      <c r="D36">
        <v>0.2</v>
      </c>
      <c r="E36" s="156">
        <f>D36*$E$24</f>
        <v>8.7000000000000011</v>
      </c>
      <c r="F36" s="19" t="s">
        <v>221</v>
      </c>
    </row>
    <row r="37" spans="1:13" x14ac:dyDescent="0.2">
      <c r="A37" s="115" t="s">
        <v>104</v>
      </c>
      <c r="B37" s="115" t="str">
        <f t="shared" si="0"/>
        <v>17.4 oz</v>
      </c>
      <c r="C37" s="115">
        <v>5</v>
      </c>
      <c r="D37">
        <v>0.4</v>
      </c>
      <c r="E37" s="156">
        <f>D37*$E$24</f>
        <v>17.400000000000002</v>
      </c>
      <c r="F37" s="19" t="s">
        <v>221</v>
      </c>
    </row>
    <row r="38" spans="1:13" x14ac:dyDescent="0.2">
      <c r="A38" s="115" t="s">
        <v>104</v>
      </c>
      <c r="B38" s="115" t="str">
        <f t="shared" si="0"/>
        <v>26.1 oz</v>
      </c>
      <c r="C38" s="115">
        <v>6</v>
      </c>
      <c r="D38">
        <v>0.6</v>
      </c>
      <c r="E38" s="156">
        <f>D38*$E$24</f>
        <v>26.099999999999998</v>
      </c>
      <c r="F38" s="19" t="s">
        <v>221</v>
      </c>
      <c r="M38">
        <f>640/43.6</f>
        <v>14.678899082568806</v>
      </c>
    </row>
    <row r="39" spans="1:13" x14ac:dyDescent="0.2">
      <c r="A39" s="115" t="s">
        <v>104</v>
      </c>
      <c r="B39" s="115" t="str">
        <f t="shared" si="0"/>
        <v>34.8 oz</v>
      </c>
      <c r="C39" s="115">
        <v>7</v>
      </c>
      <c r="D39">
        <v>0.8</v>
      </c>
      <c r="E39" s="156">
        <f>D39*$E$24</f>
        <v>34.800000000000004</v>
      </c>
      <c r="F39" s="19" t="s">
        <v>221</v>
      </c>
    </row>
    <row r="40" spans="1:13" x14ac:dyDescent="0.2">
      <c r="A40" s="115" t="s">
        <v>176</v>
      </c>
      <c r="B40" s="115" t="s">
        <v>203</v>
      </c>
      <c r="C40" s="115"/>
      <c r="E40" s="156"/>
    </row>
    <row r="41" spans="1:13" x14ac:dyDescent="0.2">
      <c r="A41" s="115" t="s">
        <v>176</v>
      </c>
      <c r="B41" s="115" t="str">
        <f>E41&amp;" "&amp;F41</f>
        <v>7 oz</v>
      </c>
      <c r="C41" s="115">
        <v>5</v>
      </c>
      <c r="E41" s="156">
        <v>7</v>
      </c>
      <c r="F41" s="19" t="s">
        <v>221</v>
      </c>
    </row>
    <row r="42" spans="1:13" x14ac:dyDescent="0.2">
      <c r="A42" s="115" t="s">
        <v>176</v>
      </c>
      <c r="B42" s="115" t="str">
        <f>E42&amp;" "&amp;F42</f>
        <v>9.2 oz</v>
      </c>
      <c r="C42" s="115">
        <v>6</v>
      </c>
      <c r="D42">
        <v>0.21</v>
      </c>
      <c r="E42" s="156">
        <v>9.1999999999999993</v>
      </c>
      <c r="F42" s="19" t="s">
        <v>221</v>
      </c>
    </row>
    <row r="43" spans="1:13" x14ac:dyDescent="0.2">
      <c r="A43" s="115" t="s">
        <v>176</v>
      </c>
      <c r="B43" s="115" t="str">
        <f t="shared" ref="B43" si="1">E43&amp;" "&amp;F43</f>
        <v>11.4 oz</v>
      </c>
      <c r="C43" s="115">
        <v>7</v>
      </c>
      <c r="D43">
        <v>0.26</v>
      </c>
      <c r="E43" s="156">
        <v>11.4</v>
      </c>
      <c r="F43" s="19" t="s">
        <v>221</v>
      </c>
    </row>
  </sheetData>
  <autoFilter ref="A3:H21" xr:uid="{794F001E-C109-4F4E-802C-DC6C236F3CBD}">
    <sortState xmlns:xlrd2="http://schemas.microsoft.com/office/spreadsheetml/2017/richdata2" ref="A4:H21">
      <sortCondition ref="A3:A21"/>
    </sortState>
  </autoFilter>
  <mergeCells count="1">
    <mergeCell ref="A2:B2"/>
  </mergeCells>
  <hyperlinks>
    <hyperlink ref="A8" r:id="rId1" display="Encartis@ fungicide" xr:uid="{12C9D33A-59F2-47C0-B9FD-EEA0A73021EA}"/>
  </hyperlinks>
  <pageMargins left="0.7" right="0.7" top="0.75" bottom="0.75" header="0.3" footer="0.3"/>
  <pageSetup orientation="portrait" r:id="rId2"/>
  <headerFooter>
    <oddFooter>&amp;C_x000D_&amp;1#&amp;"Arial"&amp;10&amp;K000000 Internal</oddFooter>
  </headerFooter>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C4A60A-8BCF-47DD-A062-89A734EBA79C}">
  <sheetPr codeName="Sheet5"/>
  <dimension ref="B2:H9"/>
  <sheetViews>
    <sheetView workbookViewId="0">
      <selection activeCell="C22" sqref="C22"/>
    </sheetView>
  </sheetViews>
  <sheetFormatPr defaultRowHeight="12.75" x14ac:dyDescent="0.2"/>
  <cols>
    <col min="1" max="1" width="7.7109375" customWidth="1"/>
    <col min="2" max="4" width="25.7109375" customWidth="1"/>
    <col min="5" max="5" width="25.42578125" bestFit="1" customWidth="1"/>
    <col min="6" max="6" width="0.7109375" customWidth="1"/>
    <col min="7" max="8" width="25.7109375" customWidth="1"/>
  </cols>
  <sheetData>
    <row r="2" spans="2:8" ht="13.15" customHeight="1" x14ac:dyDescent="0.2">
      <c r="B2" s="299" t="s">
        <v>231</v>
      </c>
      <c r="C2" s="300"/>
      <c r="D2" s="300"/>
      <c r="E2" s="300"/>
      <c r="G2" s="297" t="s">
        <v>240</v>
      </c>
      <c r="H2" s="298"/>
    </row>
    <row r="3" spans="2:8" ht="18" customHeight="1" x14ac:dyDescent="0.2">
      <c r="B3" s="307" t="s">
        <v>215</v>
      </c>
      <c r="C3" s="309" t="s">
        <v>201</v>
      </c>
      <c r="D3" s="310"/>
      <c r="E3" s="301" t="s">
        <v>267</v>
      </c>
      <c r="F3" s="94"/>
      <c r="G3" s="311" t="s">
        <v>210</v>
      </c>
      <c r="H3" s="130" t="s">
        <v>201</v>
      </c>
    </row>
    <row r="4" spans="2:8" ht="18" customHeight="1" x14ac:dyDescent="0.2">
      <c r="B4" s="308"/>
      <c r="C4" s="129" t="s">
        <v>271</v>
      </c>
      <c r="D4" s="129" t="s">
        <v>272</v>
      </c>
      <c r="E4" s="301"/>
      <c r="F4" s="94"/>
      <c r="G4" s="312"/>
      <c r="H4" s="131" t="s">
        <v>273</v>
      </c>
    </row>
    <row r="5" spans="2:8" x14ac:dyDescent="0.2">
      <c r="B5" s="132" t="s">
        <v>232</v>
      </c>
      <c r="C5" s="133">
        <v>0.08</v>
      </c>
      <c r="D5" s="133">
        <v>0.03</v>
      </c>
      <c r="E5" s="133" t="s">
        <v>251</v>
      </c>
      <c r="F5" s="50"/>
      <c r="G5" s="132" t="s">
        <v>229</v>
      </c>
      <c r="H5" s="133">
        <v>0.04</v>
      </c>
    </row>
    <row r="6" spans="2:8" x14ac:dyDescent="0.2">
      <c r="B6" s="134" t="s">
        <v>233</v>
      </c>
      <c r="C6" s="135">
        <v>0.14000000000000001</v>
      </c>
      <c r="D6" s="135">
        <v>0.06</v>
      </c>
      <c r="E6" s="135" t="s">
        <v>252</v>
      </c>
      <c r="F6" s="50"/>
      <c r="G6" s="134" t="s">
        <v>228</v>
      </c>
      <c r="H6" s="135">
        <v>0.06</v>
      </c>
    </row>
    <row r="7" spans="2:8" ht="13.15" customHeight="1" x14ac:dyDescent="0.2">
      <c r="B7" s="132" t="s">
        <v>234</v>
      </c>
      <c r="C7" s="133" t="s">
        <v>243</v>
      </c>
      <c r="D7" s="133" t="s">
        <v>253</v>
      </c>
      <c r="E7" s="133" t="s">
        <v>252</v>
      </c>
      <c r="F7" s="50"/>
      <c r="G7" s="164" t="s">
        <v>230</v>
      </c>
      <c r="H7" s="302">
        <v>0.12</v>
      </c>
    </row>
    <row r="8" spans="2:8" x14ac:dyDescent="0.2">
      <c r="B8" s="134" t="s">
        <v>235</v>
      </c>
      <c r="C8" s="135" t="s">
        <v>244</v>
      </c>
      <c r="D8" s="135" t="s">
        <v>246</v>
      </c>
      <c r="E8" s="135" t="s">
        <v>252</v>
      </c>
      <c r="F8" s="50"/>
      <c r="G8" s="305" t="s">
        <v>255</v>
      </c>
      <c r="H8" s="303"/>
    </row>
    <row r="9" spans="2:8" x14ac:dyDescent="0.2">
      <c r="B9" s="132" t="s">
        <v>236</v>
      </c>
      <c r="C9" s="133" t="s">
        <v>245</v>
      </c>
      <c r="D9" s="133" t="s">
        <v>254</v>
      </c>
      <c r="E9" s="133" t="s">
        <v>252</v>
      </c>
      <c r="G9" s="306"/>
      <c r="H9" s="304"/>
    </row>
  </sheetData>
  <mergeCells count="8">
    <mergeCell ref="G2:H2"/>
    <mergeCell ref="B2:E2"/>
    <mergeCell ref="E3:E4"/>
    <mergeCell ref="H7:H9"/>
    <mergeCell ref="G8:G9"/>
    <mergeCell ref="B3:B4"/>
    <mergeCell ref="C3:D3"/>
    <mergeCell ref="G3:G4"/>
  </mergeCells>
  <pageMargins left="0.7" right="0.7" top="0.75" bottom="0.75" header="0.3" footer="0.3"/>
  <pageSetup orientation="portrait" horizontalDpi="1200" verticalDpi="1200" r:id="rId1"/>
  <headerFooter>
    <oddFooter>&amp;C_x000D_&amp;1#&amp;"Arial"&amp;10&amp;K000000 Internal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C8171B59C92B44A5C32FA31C8B86C0" ma:contentTypeVersion="13" ma:contentTypeDescription="Create a new document." ma:contentTypeScope="" ma:versionID="db70d3da5088504656b2c246e1284dad">
  <xsd:schema xmlns:xsd="http://www.w3.org/2001/XMLSchema" xmlns:xs="http://www.w3.org/2001/XMLSchema" xmlns:p="http://schemas.microsoft.com/office/2006/metadata/properties" xmlns:ns3="cbad81f1-e87b-4837-9e6a-e69540258550" xmlns:ns4="94693afb-85e3-4364-9401-09e03d53d64b" targetNamespace="http://schemas.microsoft.com/office/2006/metadata/properties" ma:root="true" ma:fieldsID="9489705c82c1ca9898cd6435e41646e3" ns3:_="" ns4:_="">
    <xsd:import namespace="cbad81f1-e87b-4837-9e6a-e69540258550"/>
    <xsd:import namespace="94693afb-85e3-4364-9401-09e03d53d64b"/>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Location" minOccurs="0"/>
                <xsd:element ref="ns4:MediaServiceOCR" minOccurs="0"/>
                <xsd:element ref="ns4:MediaServiceGenerationTime" minOccurs="0"/>
                <xsd:element ref="ns4:MediaServiceEventHashCode"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ad81f1-e87b-4837-9e6a-e69540258550"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4693afb-85e3-4364-9401-09e03d53d64b"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description="" ma:hidden="true" ma:internalName="MediaServiceDateTaken" ma:readOnly="true">
      <xsd:simpleType>
        <xsd:restriction base="dms:Text"/>
      </xsd:simpleType>
    </xsd:element>
    <xsd:element name="MediaServiceAutoTags" ma:index="14" nillable="true" ma:displayName="MediaServiceAutoTags" ma:internalName="MediaServiceAutoTags" ma:readOnly="true">
      <xsd:simpleType>
        <xsd:restriction base="dms:Text"/>
      </xsd:simpleType>
    </xsd:element>
    <xsd:element name="MediaServiceLocation" ma:index="15" nillable="true" ma:displayName="MediaServiceLocation" ma:internalName="MediaServiceLocatio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FEDEB23-E08D-4418-B05F-15C47C09587F}">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94693afb-85e3-4364-9401-09e03d53d64b"/>
    <ds:schemaRef ds:uri="cbad81f1-e87b-4837-9e6a-e69540258550"/>
    <ds:schemaRef ds:uri="http://www.w3.org/XML/1998/namespace"/>
    <ds:schemaRef ds:uri="http://purl.org/dc/dcmitype/"/>
  </ds:schemaRefs>
</ds:datastoreItem>
</file>

<file path=customXml/itemProps2.xml><?xml version="1.0" encoding="utf-8"?>
<ds:datastoreItem xmlns:ds="http://schemas.openxmlformats.org/officeDocument/2006/customXml" ds:itemID="{4D23711F-34F2-4A55-B349-82842C90989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bad81f1-e87b-4837-9e6a-e69540258550"/>
    <ds:schemaRef ds:uri="94693afb-85e3-4364-9401-09e03d53d6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75902A9-E12F-4B1E-8951-232BEAF9D0FA}">
  <ds:schemaRefs>
    <ds:schemaRef ds:uri="http://schemas.microsoft.com/sharepoint/v3/contenttype/forms"/>
  </ds:schemaRefs>
</ds:datastoreItem>
</file>

<file path=docMetadata/LabelInfo.xml><?xml version="1.0" encoding="utf-8"?>
<clbl:labelList xmlns:clbl="http://schemas.microsoft.com/office/2020/mipLabelMetadata">
  <clbl:label id="{06530cf4-8573-4c29-a912-bbcdac835909}" enabled="1" method="Privileged" siteId="{ecaa386b-c8df-4ce0-ad01-740cbdb5ba55}"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Step 1 - Fungicide Planner</vt:lpstr>
      <vt:lpstr>Step 2 - Order Planner</vt:lpstr>
      <vt:lpstr>Step 3 - Review Order</vt:lpstr>
      <vt:lpstr>'Step 2 - Order Planner'!Print_Area</vt:lpstr>
      <vt:lpstr>'Step 3 - Review Order'!Print_Area</vt:lpstr>
    </vt:vector>
  </TitlesOfParts>
  <Company>BASF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G Shiffer</dc:creator>
  <cp:lastModifiedBy>michael.g.shiffer@basf.com</cp:lastModifiedBy>
  <cp:lastPrinted>2023-07-26T11:53:45Z</cp:lastPrinted>
  <dcterms:created xsi:type="dcterms:W3CDTF">2015-06-05T13:34:07Z</dcterms:created>
  <dcterms:modified xsi:type="dcterms:W3CDTF">2025-07-15T19:30:40Z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lassification_To_AIP">
    <vt:i4>0</vt:i4>
  </property>
  <property fmtid="{D5CDD505-2E9C-101B-9397-08002B2CF9AE}" pid="3" name="ContentTypeId">
    <vt:lpwstr>0x010100C8C8171B59C92B44A5C32FA31C8B86C0</vt:lpwstr>
  </property>
  <property fmtid="{D5CDD505-2E9C-101B-9397-08002B2CF9AE}" pid="4" name="MSIP_Label_06530cf4-8573-4c29-a912-bbcdac835909_Enabled">
    <vt:lpwstr>true</vt:lpwstr>
  </property>
  <property fmtid="{D5CDD505-2E9C-101B-9397-08002B2CF9AE}" pid="5" name="MSIP_Label_06530cf4-8573-4c29-a912-bbcdac835909_SetDate">
    <vt:lpwstr>2024-08-01T19:24:32Z</vt:lpwstr>
  </property>
  <property fmtid="{D5CDD505-2E9C-101B-9397-08002B2CF9AE}" pid="6" name="MSIP_Label_06530cf4-8573-4c29-a912-bbcdac835909_Method">
    <vt:lpwstr>Privileged</vt:lpwstr>
  </property>
  <property fmtid="{D5CDD505-2E9C-101B-9397-08002B2CF9AE}" pid="7" name="MSIP_Label_06530cf4-8573-4c29-a912-bbcdac835909_Name">
    <vt:lpwstr>06530cf4-8573-4c29-a912-bbcdac835909</vt:lpwstr>
  </property>
  <property fmtid="{D5CDD505-2E9C-101B-9397-08002B2CF9AE}" pid="8" name="MSIP_Label_06530cf4-8573-4c29-a912-bbcdac835909_SiteId">
    <vt:lpwstr>ecaa386b-c8df-4ce0-ad01-740cbdb5ba55</vt:lpwstr>
  </property>
  <property fmtid="{D5CDD505-2E9C-101B-9397-08002B2CF9AE}" pid="9" name="MSIP_Label_06530cf4-8573-4c29-a912-bbcdac835909_ActionId">
    <vt:lpwstr>de22cf4a-f03e-4b2f-8259-f8d30c6ab16e</vt:lpwstr>
  </property>
  <property fmtid="{D5CDD505-2E9C-101B-9397-08002B2CF9AE}" pid="10" name="MSIP_Label_06530cf4-8573-4c29-a912-bbcdac835909_ContentBits">
    <vt:lpwstr>2</vt:lpwstr>
  </property>
</Properties>
</file>